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drawings/drawing2.xml" ContentType="application/vnd.openxmlformats-officedocument.drawing+xml"/>
  <Override PartName="/xl/printerSettings/printerSettings2.bin" ContentType="application/vnd.openxmlformats-officedocument.spreadsheetml.printerSettings"/>
  <Override PartName="/xl/drawings/drawing3.xml" ContentType="application/vnd.openxmlformats-officedocument.drawing+xml"/>
  <Override PartName="/xl/printerSettings/printerSettings3.bin" ContentType="application/vnd.openxmlformats-officedocument.spreadsheetml.printerSettings"/>
  <Override PartName="/xl/drawings/drawing4.xml" ContentType="application/vnd.openxmlformats-officedocument.drawing+xml"/>
  <Override PartName="/xl/printerSettings/printerSettings4.bin" ContentType="application/vnd.openxmlformats-officedocument.spreadsheetml.printerSettings"/>
  <Override PartName="/xl/drawings/drawing5.xml" ContentType="application/vnd.openxmlformats-officedocument.drawing+xml"/>
  <Override PartName="/xl/printerSettings/printerSettings5.bin" ContentType="application/vnd.openxmlformats-officedocument.spreadsheetml.printerSettings"/>
  <Override PartName="/xl/drawings/drawing6.xml" ContentType="application/vnd.openxmlformats-officedocument.drawing+xml"/>
  <Override PartName="/xl/printerSettings/printerSettings6.bin" ContentType="application/vnd.openxmlformats-officedocument.spreadsheetml.printerSettings"/>
  <Override PartName="/xl/drawings/drawing7.xml" ContentType="application/vnd.openxmlformats-officedocument.drawing+xml"/>
  <Override PartName="/xl/printerSettings/printerSettings7.bin" ContentType="application/vnd.openxmlformats-officedocument.spreadsheetml.printerSettings"/>
  <Override PartName="/xl/drawings/drawing8.xml" ContentType="application/vnd.openxmlformats-officedocument.drawing+xml"/>
  <Override PartName="/xl/printerSettings/printerSettings8.bin" ContentType="application/vnd.openxmlformats-officedocument.spreadsheetml.printerSettings"/>
  <Override PartName="/xl/drawings/drawing9.xml" ContentType="application/vnd.openxmlformats-officedocument.drawing+xml"/>
  <Override PartName="/xl/printerSettings/printerSettings9.bin" ContentType="application/vnd.openxmlformats-officedocument.spreadsheetml.printerSettings"/>
  <Override PartName="/xl/drawings/drawing10.xml" ContentType="application/vnd.openxmlformats-officedocument.drawing+xml"/>
  <Override PartName="/xl/printerSettings/printerSettings10.bin" ContentType="application/vnd.openxmlformats-officedocument.spreadsheetml.printerSettings"/>
  <Override PartName="/xl/drawings/drawing11.xml" ContentType="application/vnd.openxmlformats-officedocument.drawing+xml"/>
  <Override PartName="/xl/printerSettings/printerSettings11.bin" ContentType="application/vnd.openxmlformats-officedocument.spreadsheetml.printerSettings"/>
  <Override PartName="/xl/drawings/drawing12.xml" ContentType="application/vnd.openxmlformats-officedocument.drawing+xml"/>
  <Override PartName="/xl/printerSettings/printerSettings12.bin" ContentType="application/vnd.openxmlformats-officedocument.spreadsheetml.printerSettings"/>
  <Override PartName="/xl/drawings/drawing13.xml" ContentType="application/vnd.openxmlformats-officedocument.drawing+xml"/>
  <Override PartName="/xl/printerSettings/printerSettings13.bin" ContentType="application/vnd.openxmlformats-officedocument.spreadsheetml.printerSettings"/>
  <Override PartName="/xl/drawings/drawing14.xml" ContentType="application/vnd.openxmlformats-officedocument.drawing+xml"/>
  <Override PartName="/xl/printerSettings/printerSettings14.bin" ContentType="application/vnd.openxmlformats-officedocument.spreadsheetml.printerSettings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puratosgroup.sharepoint.com/sites/O365-TEAM-Comunicao-Marketing-Sharepoint-ext-CustomerMarketint/Shared Documents/Marketing Team/Customer Marketing/Campanhas Sazonais/Campanha de Páscoa/2025_26/04. Receituário/1. Puratos/Cost In use/"/>
    </mc:Choice>
  </mc:AlternateContent>
  <xr:revisionPtr revIDLastSave="2574" documentId="11_7A59246D4DA948137E3C18874599B7DBDCC0CE95" xr6:coauthVersionLast="47" xr6:coauthVersionMax="47" xr10:uidLastSave="{1C19D886-6238-4053-AC97-3237D0DA967E}"/>
  <bookViews>
    <workbookView xWindow="-110" yWindow="-110" windowWidth="19420" windowHeight="11500" tabRatio="997" firstSheet="1" activeTab="1" xr2:uid="{00000000-000D-0000-FFFF-FFFF00000000}"/>
  </bookViews>
  <sheets>
    <sheet name="BDD_INGREDIENTES" sheetId="15" state="hidden" r:id="rId1"/>
    <sheet name="MENU" sheetId="1" r:id="rId2"/>
    <sheet name="TRIO CROCANTE" sheetId="14" r:id="rId3"/>
    <sheet name="BOLO DE CHOCO E BRIGADEIRO" sheetId="17" r:id="rId4"/>
    <sheet name="BOLO CENOURA E BRIGADEIRO" sheetId="18" r:id="rId5"/>
    <sheet name="OVO DUO AVELÃ" sheetId="19" r:id="rId6"/>
    <sheet name="OVO CHOCO CRUNCHY" sheetId="20" r:id="rId7"/>
    <sheet name="COLOMBA DE PISTACHE" sheetId="21" r:id="rId8"/>
    <sheet name="COOKIE NA LATA" sheetId="22" r:id="rId9"/>
    <sheet name="MARITOZZO" sheetId="23" r:id="rId10"/>
    <sheet name="OVO DE COLHER" sheetId="24" r:id="rId11"/>
    <sheet name="OVO TRUFADO" sheetId="25" r:id="rId12"/>
    <sheet name="COLOMBA BYTES" sheetId="26" r:id="rId13"/>
    <sheet name="TIRAMISÚ" sheetId="27" r:id="rId14"/>
    <sheet name="TORTA CRUNCHY" sheetId="28" r:id="rId15"/>
    <sheet name="COOKIETTONE" sheetId="29" r:id="rId16"/>
  </sheets>
  <definedNames>
    <definedName name="_xlnm.Print_Area" localSheetId="4">'BOLO CENOURA E BRIGADEIRO'!$A$1:$G$60</definedName>
    <definedName name="_xlnm.Print_Area" localSheetId="3">'BOLO DE CHOCO E BRIGADEIRO'!$A$1:$G$71</definedName>
    <definedName name="_xlnm.Print_Area" localSheetId="12">'COLOMBA BYTES'!$A$1:$G$63</definedName>
    <definedName name="_xlnm.Print_Area" localSheetId="7">'COLOMBA DE PISTACHE'!$A$1:$G$57</definedName>
    <definedName name="_xlnm.Print_Area" localSheetId="8">'COOKIE NA LATA'!$A$1:$G$61</definedName>
    <definedName name="_xlnm.Print_Area" localSheetId="15">COOKIETTONE!$A$1:$G$63</definedName>
    <definedName name="_xlnm.Print_Area" localSheetId="9">MARITOZZO!$A$1:$G$63</definedName>
    <definedName name="_xlnm.Print_Area" localSheetId="6">'OVO CHOCO CRUNCHY'!$A$1:$G$60</definedName>
    <definedName name="_xlnm.Print_Area" localSheetId="10">'OVO DE COLHER'!$A$1:$G$68</definedName>
    <definedName name="_xlnm.Print_Area" localSheetId="5">'OVO DUO AVELÃ'!$A$1:$G$51</definedName>
    <definedName name="_xlnm.Print_Area" localSheetId="11">'OVO TRUFADO'!$A$1:$G$61</definedName>
    <definedName name="_xlnm.Print_Area" localSheetId="13">TIRAMISÚ!$A$1:$G$63</definedName>
    <definedName name="_xlnm.Print_Area" localSheetId="14">'TORTA CRUNCHY'!$A$1:$G$69</definedName>
    <definedName name="_xlnm.Print_Area" localSheetId="2">'TRIO CROCANTE'!$A$1:$G$68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9" l="1"/>
  <c r="E9" i="29"/>
  <c r="F9" i="29" s="1"/>
  <c r="D46" i="28"/>
  <c r="D33" i="28"/>
  <c r="D21" i="28"/>
  <c r="E49" i="28" s="1"/>
  <c r="F39" i="28"/>
  <c r="E31" i="28"/>
  <c r="F31" i="28" s="1"/>
  <c r="E32" i="28"/>
  <c r="F32" i="28" s="1"/>
  <c r="F26" i="28"/>
  <c r="E16" i="28"/>
  <c r="F16" i="28" s="1"/>
  <c r="E15" i="28"/>
  <c r="F15" i="28" s="1"/>
  <c r="E17" i="28"/>
  <c r="F17" i="28" s="1"/>
  <c r="E18" i="28"/>
  <c r="F18" i="28" s="1"/>
  <c r="E14" i="28"/>
  <c r="F14" i="28" s="1"/>
  <c r="F9" i="28"/>
  <c r="E10" i="28"/>
  <c r="F10" i="28" s="1"/>
  <c r="E10" i="27"/>
  <c r="F10" i="27" s="1"/>
  <c r="F9" i="27"/>
  <c r="E35" i="27"/>
  <c r="F35" i="27" s="1"/>
  <c r="E23" i="27"/>
  <c r="F23" i="27" s="1"/>
  <c r="F14" i="26"/>
  <c r="F16" i="26"/>
  <c r="E15" i="26"/>
  <c r="F15" i="26" s="1"/>
  <c r="E23" i="26"/>
  <c r="F23" i="26" s="1"/>
  <c r="E21" i="25"/>
  <c r="F21" i="25" s="1"/>
  <c r="F17" i="24"/>
  <c r="F27" i="24"/>
  <c r="F30" i="24"/>
  <c r="D19" i="24"/>
  <c r="E18" i="24"/>
  <c r="F18" i="24" s="1"/>
  <c r="F16" i="24"/>
  <c r="F15" i="24"/>
  <c r="E34" i="23"/>
  <c r="F34" i="23" s="1"/>
  <c r="E11" i="23"/>
  <c r="E10" i="23"/>
  <c r="F10" i="23" s="1"/>
  <c r="F11" i="23"/>
  <c r="E9" i="23"/>
  <c r="F9" i="23" s="1"/>
  <c r="E12" i="23"/>
  <c r="F12" i="23" s="1"/>
  <c r="E13" i="23"/>
  <c r="F13" i="23" s="1"/>
  <c r="E14" i="23"/>
  <c r="F14" i="23" s="1"/>
  <c r="F15" i="22"/>
  <c r="E14" i="22"/>
  <c r="F14" i="22" s="1"/>
  <c r="E10" i="22"/>
  <c r="E51" i="14"/>
  <c r="E54" i="17"/>
  <c r="E34" i="19"/>
  <c r="E43" i="20"/>
  <c r="F16" i="21"/>
  <c r="F17" i="21"/>
  <c r="E11" i="21"/>
  <c r="F11" i="21" s="1"/>
  <c r="E31" i="19"/>
  <c r="F21" i="19"/>
  <c r="E40" i="20"/>
  <c r="F20" i="20"/>
  <c r="D19" i="20"/>
  <c r="E17" i="20"/>
  <c r="F17" i="20" s="1"/>
  <c r="E16" i="20"/>
  <c r="F16" i="20" s="1"/>
  <c r="E15" i="20"/>
  <c r="F15" i="20" s="1"/>
  <c r="F14" i="20"/>
  <c r="F41" i="18"/>
  <c r="E40" i="18"/>
  <c r="F34" i="18"/>
  <c r="F35" i="18"/>
  <c r="E33" i="18"/>
  <c r="F33" i="18" s="1"/>
  <c r="E51" i="17"/>
  <c r="E52" i="17" s="1"/>
  <c r="D47" i="17"/>
  <c r="F45" i="17"/>
  <c r="F44" i="17"/>
  <c r="F43" i="17"/>
  <c r="E9" i="17"/>
  <c r="D31" i="17"/>
  <c r="F30" i="17"/>
  <c r="F29" i="17"/>
  <c r="E28" i="17"/>
  <c r="F28" i="17" s="1"/>
  <c r="F27" i="17"/>
  <c r="F26" i="17"/>
  <c r="F25" i="17"/>
  <c r="D40" i="29"/>
  <c r="F39" i="29"/>
  <c r="F38" i="29"/>
  <c r="F37" i="29"/>
  <c r="F36" i="29"/>
  <c r="D31" i="29"/>
  <c r="E30" i="29"/>
  <c r="F30" i="29" s="1"/>
  <c r="E29" i="29"/>
  <c r="F29" i="29" s="1"/>
  <c r="E28" i="29"/>
  <c r="F28" i="29" s="1"/>
  <c r="E27" i="29"/>
  <c r="F27" i="29" s="1"/>
  <c r="E26" i="29"/>
  <c r="F26" i="29" s="1"/>
  <c r="E25" i="29"/>
  <c r="F25" i="29" s="1"/>
  <c r="E24" i="29"/>
  <c r="F24" i="29" s="1"/>
  <c r="E23" i="29"/>
  <c r="F23" i="29" s="1"/>
  <c r="D18" i="29"/>
  <c r="F13" i="29"/>
  <c r="F12" i="29"/>
  <c r="E11" i="29"/>
  <c r="F11" i="29" s="1"/>
  <c r="F10" i="29"/>
  <c r="F8" i="29"/>
  <c r="F45" i="28"/>
  <c r="F44" i="28"/>
  <c r="F41" i="28"/>
  <c r="F40" i="28"/>
  <c r="E30" i="28"/>
  <c r="F30" i="28" s="1"/>
  <c r="E29" i="28"/>
  <c r="F29" i="28" s="1"/>
  <c r="F28" i="28"/>
  <c r="F27" i="28"/>
  <c r="E11" i="28"/>
  <c r="F11" i="28" s="1"/>
  <c r="D40" i="27"/>
  <c r="F39" i="27"/>
  <c r="F38" i="27"/>
  <c r="F37" i="27"/>
  <c r="F36" i="27"/>
  <c r="F34" i="27"/>
  <c r="D29" i="27"/>
  <c r="E28" i="27"/>
  <c r="F28" i="27" s="1"/>
  <c r="E27" i="27"/>
  <c r="F27" i="27" s="1"/>
  <c r="E26" i="27"/>
  <c r="F26" i="27" s="1"/>
  <c r="F25" i="27"/>
  <c r="F24" i="27"/>
  <c r="D18" i="27"/>
  <c r="E13" i="27"/>
  <c r="F13" i="27" s="1"/>
  <c r="F12" i="27"/>
  <c r="F11" i="27"/>
  <c r="F8" i="27"/>
  <c r="E27" i="26"/>
  <c r="F27" i="26" s="1"/>
  <c r="E26" i="26"/>
  <c r="F26" i="26" s="1"/>
  <c r="E25" i="26"/>
  <c r="F25" i="26" s="1"/>
  <c r="E24" i="26"/>
  <c r="F24" i="26" s="1"/>
  <c r="D40" i="26"/>
  <c r="F39" i="26"/>
  <c r="E38" i="26"/>
  <c r="F38" i="26" s="1"/>
  <c r="F37" i="26"/>
  <c r="F36" i="26"/>
  <c r="F35" i="26"/>
  <c r="F34" i="26"/>
  <c r="D29" i="26"/>
  <c r="E28" i="26"/>
  <c r="F28" i="26" s="1"/>
  <c r="D18" i="26"/>
  <c r="E12" i="26"/>
  <c r="F12" i="26" s="1"/>
  <c r="F11" i="26"/>
  <c r="E10" i="26"/>
  <c r="F10" i="26" s="1"/>
  <c r="F9" i="26"/>
  <c r="C33" i="15"/>
  <c r="D38" i="25"/>
  <c r="F37" i="25"/>
  <c r="E36" i="25"/>
  <c r="F36" i="25" s="1"/>
  <c r="E35" i="25"/>
  <c r="F35" i="25" s="1"/>
  <c r="E34" i="25"/>
  <c r="F34" i="25" s="1"/>
  <c r="E33" i="25"/>
  <c r="F33" i="25" s="1"/>
  <c r="E32" i="25"/>
  <c r="F32" i="25" s="1"/>
  <c r="D27" i="25"/>
  <c r="E26" i="25"/>
  <c r="F26" i="25" s="1"/>
  <c r="E25" i="25"/>
  <c r="F25" i="25" s="1"/>
  <c r="F24" i="25"/>
  <c r="E23" i="25"/>
  <c r="F23" i="25" s="1"/>
  <c r="F22" i="25"/>
  <c r="D14" i="25"/>
  <c r="E13" i="25"/>
  <c r="F13" i="25" s="1"/>
  <c r="E12" i="25"/>
  <c r="F12" i="25" s="1"/>
  <c r="E11" i="25"/>
  <c r="F11" i="25" s="1"/>
  <c r="F9" i="25"/>
  <c r="F8" i="25"/>
  <c r="D45" i="24"/>
  <c r="F44" i="24"/>
  <c r="E43" i="24"/>
  <c r="F43" i="24" s="1"/>
  <c r="E42" i="24"/>
  <c r="F42" i="24" s="1"/>
  <c r="E41" i="24"/>
  <c r="F41" i="24" s="1"/>
  <c r="E40" i="24"/>
  <c r="F40" i="24" s="1"/>
  <c r="F39" i="24"/>
  <c r="D34" i="24"/>
  <c r="E33" i="24"/>
  <c r="F33" i="24" s="1"/>
  <c r="F32" i="24"/>
  <c r="E31" i="24"/>
  <c r="F31" i="24" s="1"/>
  <c r="F26" i="24"/>
  <c r="D11" i="24"/>
  <c r="E10" i="24"/>
  <c r="F10" i="24" s="1"/>
  <c r="F9" i="24"/>
  <c r="F8" i="24"/>
  <c r="C34" i="15"/>
  <c r="C32" i="15"/>
  <c r="D18" i="14"/>
  <c r="D14" i="17"/>
  <c r="D14" i="18"/>
  <c r="D10" i="19"/>
  <c r="D10" i="20"/>
  <c r="D19" i="21"/>
  <c r="D17" i="22"/>
  <c r="D15" i="23"/>
  <c r="D40" i="23"/>
  <c r="F39" i="23"/>
  <c r="E38" i="23"/>
  <c r="F38" i="23" s="1"/>
  <c r="E37" i="23"/>
  <c r="F37" i="23" s="1"/>
  <c r="E36" i="23"/>
  <c r="F36" i="23" s="1"/>
  <c r="E35" i="23"/>
  <c r="F35" i="23" s="1"/>
  <c r="D29" i="23"/>
  <c r="E28" i="23"/>
  <c r="F28" i="23" s="1"/>
  <c r="E27" i="23"/>
  <c r="F27" i="23" s="1"/>
  <c r="F26" i="23"/>
  <c r="E24" i="23"/>
  <c r="F24" i="23" s="1"/>
  <c r="F23" i="23"/>
  <c r="F22" i="23"/>
  <c r="F21" i="23"/>
  <c r="F8" i="23"/>
  <c r="C30" i="15"/>
  <c r="F22" i="22"/>
  <c r="F24" i="21"/>
  <c r="D38" i="22"/>
  <c r="F37" i="22"/>
  <c r="E36" i="22"/>
  <c r="F36" i="22" s="1"/>
  <c r="E35" i="22"/>
  <c r="F35" i="22" s="1"/>
  <c r="E34" i="22"/>
  <c r="F34" i="22" s="1"/>
  <c r="E33" i="22"/>
  <c r="F33" i="22" s="1"/>
  <c r="E32" i="22"/>
  <c r="F32" i="22" s="1"/>
  <c r="D27" i="22"/>
  <c r="E26" i="22"/>
  <c r="F26" i="22" s="1"/>
  <c r="E25" i="22"/>
  <c r="F25" i="22" s="1"/>
  <c r="E24" i="22"/>
  <c r="F24" i="22" s="1"/>
  <c r="E23" i="22"/>
  <c r="F23" i="22" s="1"/>
  <c r="E13" i="22"/>
  <c r="F13" i="22" s="1"/>
  <c r="E12" i="22"/>
  <c r="F12" i="22" s="1"/>
  <c r="E11" i="22"/>
  <c r="F11" i="22" s="1"/>
  <c r="F8" i="22"/>
  <c r="C26" i="15"/>
  <c r="C25" i="15"/>
  <c r="D34" i="21"/>
  <c r="F32" i="21"/>
  <c r="F31" i="21"/>
  <c r="D26" i="21"/>
  <c r="E15" i="21"/>
  <c r="F15" i="21" s="1"/>
  <c r="F14" i="21"/>
  <c r="F9" i="21"/>
  <c r="E10" i="25"/>
  <c r="F10" i="25" s="1"/>
  <c r="F25" i="20"/>
  <c r="C6" i="15"/>
  <c r="F8" i="20"/>
  <c r="D37" i="20"/>
  <c r="F36" i="20"/>
  <c r="F35" i="20"/>
  <c r="F34" i="20"/>
  <c r="D29" i="20"/>
  <c r="E28" i="20"/>
  <c r="F28" i="20" s="1"/>
  <c r="E27" i="20"/>
  <c r="F27" i="20" s="1"/>
  <c r="F26" i="20"/>
  <c r="F24" i="20"/>
  <c r="E18" i="19"/>
  <c r="F18" i="19" s="1"/>
  <c r="C16" i="15"/>
  <c r="D34" i="14"/>
  <c r="D21" i="17"/>
  <c r="D23" i="18"/>
  <c r="D20" i="19"/>
  <c r="F15" i="19"/>
  <c r="F8" i="19"/>
  <c r="D28" i="19"/>
  <c r="F26" i="19"/>
  <c r="F25" i="19"/>
  <c r="E17" i="19"/>
  <c r="F17" i="19" s="1"/>
  <c r="C10" i="15"/>
  <c r="E30" i="18" s="1"/>
  <c r="F30" i="18" s="1"/>
  <c r="F32" i="18"/>
  <c r="E31" i="18"/>
  <c r="F31" i="18" s="1"/>
  <c r="E29" i="18"/>
  <c r="F29" i="18" s="1"/>
  <c r="E28" i="18"/>
  <c r="F28" i="18" s="1"/>
  <c r="D37" i="18"/>
  <c r="F21" i="18"/>
  <c r="F20" i="18"/>
  <c r="F19" i="18"/>
  <c r="F12" i="18"/>
  <c r="E10" i="18"/>
  <c r="F10" i="18" s="1"/>
  <c r="E9" i="18"/>
  <c r="F9" i="18" s="1"/>
  <c r="F8" i="18"/>
  <c r="F12" i="17"/>
  <c r="F19" i="17"/>
  <c r="D39" i="17"/>
  <c r="F37" i="17"/>
  <c r="F36" i="17"/>
  <c r="F35" i="17"/>
  <c r="E20" i="17"/>
  <c r="F20" i="17" s="1"/>
  <c r="E10" i="17"/>
  <c r="F10" i="17" s="1"/>
  <c r="F9" i="17"/>
  <c r="F8" i="17"/>
  <c r="F40" i="14"/>
  <c r="F39" i="14"/>
  <c r="E43" i="29" l="1"/>
  <c r="E44" i="29" s="1"/>
  <c r="E46" i="29" s="1"/>
  <c r="E50" i="28"/>
  <c r="E52" i="28" s="1"/>
  <c r="F19" i="24"/>
  <c r="F19" i="20"/>
  <c r="F46" i="28"/>
  <c r="F21" i="28"/>
  <c r="F47" i="17"/>
  <c r="F31" i="17"/>
  <c r="F18" i="29"/>
  <c r="F40" i="29"/>
  <c r="F31" i="29"/>
  <c r="F33" i="28"/>
  <c r="E48" i="24"/>
  <c r="E49" i="24" s="1"/>
  <c r="E51" i="24" s="1"/>
  <c r="F40" i="27"/>
  <c r="E43" i="27"/>
  <c r="E44" i="27" s="1"/>
  <c r="E46" i="27" s="1"/>
  <c r="F18" i="27"/>
  <c r="F29" i="27"/>
  <c r="E43" i="26"/>
  <c r="E44" i="26" s="1"/>
  <c r="E46" i="26" s="1"/>
  <c r="F18" i="26"/>
  <c r="F40" i="26"/>
  <c r="F29" i="26"/>
  <c r="F20" i="25"/>
  <c r="F27" i="25" s="1"/>
  <c r="F45" i="24"/>
  <c r="F38" i="25"/>
  <c r="E41" i="25"/>
  <c r="E42" i="25" s="1"/>
  <c r="F14" i="25"/>
  <c r="F11" i="24"/>
  <c r="F34" i="24"/>
  <c r="F15" i="23"/>
  <c r="F40" i="23"/>
  <c r="E43" i="23"/>
  <c r="E44" i="23" s="1"/>
  <c r="E46" i="23" s="1"/>
  <c r="F29" i="23"/>
  <c r="F38" i="22"/>
  <c r="F27" i="22"/>
  <c r="E41" i="22"/>
  <c r="E42" i="22" s="1"/>
  <c r="E44" i="22" s="1"/>
  <c r="E37" i="21"/>
  <c r="E38" i="21" s="1"/>
  <c r="E40" i="21" s="1"/>
  <c r="F34" i="21"/>
  <c r="F26" i="21"/>
  <c r="F37" i="20"/>
  <c r="F29" i="20"/>
  <c r="F30" i="20" s="1"/>
  <c r="F40" i="20" s="1"/>
  <c r="F21" i="17"/>
  <c r="F23" i="18"/>
  <c r="E32" i="19"/>
  <c r="F28" i="19"/>
  <c r="E41" i="18"/>
  <c r="F37" i="18"/>
  <c r="F40" i="18" s="1"/>
  <c r="F39" i="17"/>
  <c r="C9" i="15"/>
  <c r="C13" i="15"/>
  <c r="C5" i="15"/>
  <c r="E9" i="22" s="1"/>
  <c r="F9" i="22" s="1"/>
  <c r="F8" i="14"/>
  <c r="D45" i="14"/>
  <c r="E48" i="14" s="1"/>
  <c r="E49" i="14" s="1"/>
  <c r="F44" i="14"/>
  <c r="F43" i="14"/>
  <c r="F42" i="14"/>
  <c r="F41" i="14"/>
  <c r="F24" i="14"/>
  <c r="F23" i="14"/>
  <c r="E43" i="18" l="1"/>
  <c r="F43" i="29"/>
  <c r="F44" i="29" s="1"/>
  <c r="E47" i="29" s="1"/>
  <c r="E50" i="29" s="1"/>
  <c r="F49" i="28"/>
  <c r="F50" i="28" s="1"/>
  <c r="E53" i="28" s="1"/>
  <c r="E56" i="28" s="1"/>
  <c r="E44" i="25"/>
  <c r="E41" i="20"/>
  <c r="F43" i="27"/>
  <c r="F44" i="27" s="1"/>
  <c r="E47" i="27" s="1"/>
  <c r="F43" i="26"/>
  <c r="F44" i="26" s="1"/>
  <c r="E47" i="26" s="1"/>
  <c r="F10" i="22"/>
  <c r="F17" i="22" s="1"/>
  <c r="F41" i="22" s="1"/>
  <c r="F42" i="22" s="1"/>
  <c r="E45" i="22" s="1"/>
  <c r="E10" i="21"/>
  <c r="F10" i="21" s="1"/>
  <c r="F48" i="24"/>
  <c r="F49" i="24" s="1"/>
  <c r="E52" i="24" s="1"/>
  <c r="F41" i="25"/>
  <c r="F42" i="25" s="1"/>
  <c r="F43" i="23"/>
  <c r="F44" i="23" s="1"/>
  <c r="E47" i="23" s="1"/>
  <c r="E11" i="18"/>
  <c r="F11" i="18" s="1"/>
  <c r="E16" i="19"/>
  <c r="F16" i="19" s="1"/>
  <c r="F20" i="19" s="1"/>
  <c r="E11" i="17"/>
  <c r="F11" i="17" s="1"/>
  <c r="F10" i="19"/>
  <c r="F31" i="19" s="1"/>
  <c r="F34" i="14"/>
  <c r="F45" i="14"/>
  <c r="E48" i="29" l="1"/>
  <c r="E54" i="28"/>
  <c r="E45" i="25"/>
  <c r="E46" i="25" s="1"/>
  <c r="F19" i="21"/>
  <c r="F37" i="21" s="1"/>
  <c r="F38" i="21" s="1"/>
  <c r="E41" i="21" s="1"/>
  <c r="E48" i="22"/>
  <c r="E50" i="23"/>
  <c r="E53" i="24"/>
  <c r="E50" i="27"/>
  <c r="E48" i="27"/>
  <c r="E50" i="26"/>
  <c r="E48" i="26"/>
  <c r="F18" i="14"/>
  <c r="F48" i="14" s="1"/>
  <c r="F49" i="14" s="1"/>
  <c r="E52" i="14" s="1"/>
  <c r="E53" i="14" s="1"/>
  <c r="E55" i="24"/>
  <c r="F14" i="18"/>
  <c r="E44" i="18" s="1"/>
  <c r="F14" i="17"/>
  <c r="F51" i="17" s="1"/>
  <c r="F10" i="20"/>
  <c r="E48" i="23"/>
  <c r="E46" i="22"/>
  <c r="F32" i="19"/>
  <c r="E35" i="19" s="1"/>
  <c r="E36" i="19" s="1"/>
  <c r="E48" i="25" l="1"/>
  <c r="E42" i="21"/>
  <c r="E44" i="21"/>
  <c r="F41" i="20"/>
  <c r="E44" i="20" s="1"/>
  <c r="F52" i="17"/>
  <c r="E55" i="17" s="1"/>
  <c r="E56" i="17" s="1"/>
  <c r="E38" i="19"/>
  <c r="E47" i="18"/>
  <c r="E45" i="18"/>
  <c r="E47" i="20" l="1"/>
  <c r="E45" i="20"/>
  <c r="E58" i="17"/>
  <c r="E55" i="14"/>
</calcChain>
</file>

<file path=xl/sharedStrings.xml><?xml version="1.0" encoding="utf-8"?>
<sst xmlns="http://schemas.openxmlformats.org/spreadsheetml/2006/main" count="710" uniqueCount="213">
  <si>
    <t>Ingrediente</t>
  </si>
  <si>
    <t>Água ambiente</t>
  </si>
  <si>
    <t>Fermento biológico fresco</t>
  </si>
  <si>
    <t xml:space="preserve">Avelã tostada </t>
  </si>
  <si>
    <t>MASSA</t>
  </si>
  <si>
    <t>Gramas</t>
  </si>
  <si>
    <t>R$/Kg</t>
  </si>
  <si>
    <t>Custo</t>
  </si>
  <si>
    <t>TOTAL DA MASSA</t>
  </si>
  <si>
    <t>RECHEIO</t>
  </si>
  <si>
    <t>Avelãs Trituradas</t>
  </si>
  <si>
    <t>TOTAL DO RECHEIO</t>
  </si>
  <si>
    <t>DECORAÇÃO/COBERTURA</t>
  </si>
  <si>
    <t>TOTAL DA DECORAÇÃO</t>
  </si>
  <si>
    <t>Custo Massa</t>
  </si>
  <si>
    <t>PESO UNITÁRIO EM GRAMAS</t>
  </si>
  <si>
    <t>MARK-UP PREÇO CONSUMIDOR</t>
  </si>
  <si>
    <t>PREÇO CONSUMIDOR</t>
  </si>
  <si>
    <t>CUSTO DA RECEITA</t>
  </si>
  <si>
    <t>UNIDADES DA RECEITA</t>
  </si>
  <si>
    <t>CUSTO UNITÁRIO DA RECEITA S/ EMBALAGEM</t>
  </si>
  <si>
    <t>CUSTO KG DA RECEITA S/ EMBALAGEM</t>
  </si>
  <si>
    <t>Custo SP</t>
  </si>
  <si>
    <t xml:space="preserve">TABELA DE CUSTO DE ITENS </t>
  </si>
  <si>
    <t>MASSA TOTAL + RECHEIO</t>
  </si>
  <si>
    <t>MODO DE PREPARO DA RECEITA</t>
  </si>
  <si>
    <t>1ª Etapa - Massa:</t>
  </si>
  <si>
    <t xml:space="preserve">2ª Etapa - Recheio: </t>
  </si>
  <si>
    <t>Ovos</t>
  </si>
  <si>
    <t>Óleo</t>
  </si>
  <si>
    <t>Amendoim torrado triturado</t>
  </si>
  <si>
    <t>Chantypak</t>
  </si>
  <si>
    <t>Chocolanté Branco</t>
  </si>
  <si>
    <t>Leite condensado</t>
  </si>
  <si>
    <t>Spray</t>
  </si>
  <si>
    <t>Galão = 15,48</t>
  </si>
  <si>
    <t>MASSA C/ QUEBRA QUEBRA</t>
  </si>
  <si>
    <t>Milho verde</t>
  </si>
  <si>
    <t>Leite de coco</t>
  </si>
  <si>
    <t>Gemas</t>
  </si>
  <si>
    <t>Canela em pó</t>
  </si>
  <si>
    <t xml:space="preserve">3ª Etapa - Cobertura: </t>
  </si>
  <si>
    <t>Glucose</t>
  </si>
  <si>
    <t>Coco ralado</t>
  </si>
  <si>
    <t>Água gelada</t>
  </si>
  <si>
    <t>Água Gelada</t>
  </si>
  <si>
    <t>CPT Finesse</t>
  </si>
  <si>
    <t xml:space="preserve">Vinho tinto </t>
  </si>
  <si>
    <t>Farinha de trigo</t>
  </si>
  <si>
    <t>Fubá</t>
  </si>
  <si>
    <t>Acém</t>
  </si>
  <si>
    <t>Pimentão vermelho</t>
  </si>
  <si>
    <t>Pimentão verde</t>
  </si>
  <si>
    <t>Tomate</t>
  </si>
  <si>
    <t>Cebola</t>
  </si>
  <si>
    <t>DICA DO CHEF</t>
  </si>
  <si>
    <t>Linguiça calabresa</t>
  </si>
  <si>
    <t>Queijo parmesão</t>
  </si>
  <si>
    <t>Leite</t>
  </si>
  <si>
    <t>Canela em pau</t>
  </si>
  <si>
    <t>Noz-moscada em pó</t>
  </si>
  <si>
    <t>Carat Supercrem Chocolate com Avelã</t>
  </si>
  <si>
    <t>Chocolanté Meio Amargo</t>
  </si>
  <si>
    <t>Satin Creme Cake Chocolate</t>
  </si>
  <si>
    <t>Manteiga</t>
  </si>
  <si>
    <t>Cravo em pó</t>
  </si>
  <si>
    <t>Sal</t>
  </si>
  <si>
    <r>
      <rPr>
        <b/>
        <sz val="8"/>
        <color theme="1"/>
        <rFont val="Century Gothic"/>
        <family val="2"/>
      </rPr>
      <t>Dica do Chef:</t>
    </r>
    <r>
      <rPr>
        <sz val="8"/>
        <color theme="1"/>
        <rFont val="Century Gothic"/>
        <family val="2"/>
      </rPr>
      <t xml:space="preserve"> Utilize os demais recheios da Puratos para rechear os cookies. Você também pode variar a cobertura com diversos chocolates e nuts.</t>
    </r>
  </si>
  <si>
    <t>MASSA TOTAL + RECHEIO + COBERTURA</t>
  </si>
  <si>
    <t>MASSA + RECHEIO - C/ QUEBRA QUEBRA</t>
  </si>
  <si>
    <t>BOLO DE CHOCOLATE COM BRIGADEIRO</t>
  </si>
  <si>
    <t>BOLO CENOURA E BRIGADEIRO</t>
  </si>
  <si>
    <t>OVO DUO AVELÃ</t>
  </si>
  <si>
    <t>OVO CHOCO CRUNCHY</t>
  </si>
  <si>
    <t>COLOMBA DE PISTACHE</t>
  </si>
  <si>
    <t>COOKIE RECHEADO NA LATA</t>
  </si>
  <si>
    <t>MARITOZZO DE CHOCOLATE</t>
  </si>
  <si>
    <t>COLOMBA BYTES</t>
  </si>
  <si>
    <t>TIRAMISÚ NA TAÇA</t>
  </si>
  <si>
    <t>COOKIETTONE</t>
  </si>
  <si>
    <t>PÁSCOA 2026</t>
  </si>
  <si>
    <t>Carat +Sabor Caramelo</t>
  </si>
  <si>
    <t>CASCA</t>
  </si>
  <si>
    <t>TOTAL CASCA</t>
  </si>
  <si>
    <t>Carat Decorcrem</t>
  </si>
  <si>
    <t>Cereal de flocos de milho açucarados</t>
  </si>
  <si>
    <t>Corante em pó dourado</t>
  </si>
  <si>
    <r>
      <t xml:space="preserve">TRIO CROCANTE
</t>
    </r>
    <r>
      <rPr>
        <sz val="16"/>
        <color rgb="FF602000"/>
        <rFont val="Century Gothic"/>
        <family val="2"/>
      </rPr>
      <t>Caramelo Crocante</t>
    </r>
  </si>
  <si>
    <t>Calda Dulcerío</t>
  </si>
  <si>
    <t>Deli Brigadeiro</t>
  </si>
  <si>
    <t>Chocolanté Ao Leite</t>
  </si>
  <si>
    <t>COBERTURA - Ganache Meio Amargo</t>
  </si>
  <si>
    <t>Carat +Sabor Branco</t>
  </si>
  <si>
    <t>Corante verde para chocolate</t>
  </si>
  <si>
    <t>DECORAÇÃO/COBERTURA - Ganache verde</t>
  </si>
  <si>
    <t>DECORAÇÃO/COBERTURA - Coelhos</t>
  </si>
  <si>
    <t>Corantes coloridos para chocolate</t>
  </si>
  <si>
    <t>Confeitos Coloridos</t>
  </si>
  <si>
    <t>Satin Creme Cake Cenoura</t>
  </si>
  <si>
    <t>Água</t>
  </si>
  <si>
    <t>Creme de leite</t>
  </si>
  <si>
    <t>Açúcar refinado</t>
  </si>
  <si>
    <t>Confeitos variados</t>
  </si>
  <si>
    <t>Ambiante</t>
  </si>
  <si>
    <t>BOLO DE CHOCOLATE</t>
  </si>
  <si>
    <t>RECHEIO E MONTAGEM</t>
  </si>
  <si>
    <t>Carat Supercrem Chocolate Branco com Avelã</t>
  </si>
  <si>
    <t>Carat +Sabor Meio Amargo</t>
  </si>
  <si>
    <t>Tegral Soft'r Panettone</t>
  </si>
  <si>
    <t>Pistache triturado</t>
  </si>
  <si>
    <t>Reforço</t>
  </si>
  <si>
    <t xml:space="preserve">Esponja </t>
  </si>
  <si>
    <t>Carat Supercrem Pistache</t>
  </si>
  <si>
    <t>Carat Decorcrem Branco</t>
  </si>
  <si>
    <t>Açúcar mascavo</t>
  </si>
  <si>
    <t>Bicarbonato de sódio</t>
  </si>
  <si>
    <t>Gotas de chocolate</t>
  </si>
  <si>
    <t>MASSA BRIOCHE</t>
  </si>
  <si>
    <t>Tegral Brioche de paris</t>
  </si>
  <si>
    <t>Creme diplomata</t>
  </si>
  <si>
    <t>Leite integral</t>
  </si>
  <si>
    <t>Creme Chiboust</t>
  </si>
  <si>
    <t>Cacau em pó</t>
  </si>
  <si>
    <t>Chantypak Chocolate com Avelã</t>
  </si>
  <si>
    <r>
      <t xml:space="preserve">OVO DE COLHER
</t>
    </r>
    <r>
      <rPr>
        <sz val="16"/>
        <color rgb="FF541C00"/>
        <rFont val="Century Gothic"/>
        <family val="2"/>
      </rPr>
      <t>Pistache e Frutas Vermelhas</t>
    </r>
  </si>
  <si>
    <t>Belcolade Selection Blanc</t>
  </si>
  <si>
    <t>MASSA PÃO DE LÓ</t>
  </si>
  <si>
    <t>Pão de Ló X-PRESS Neutro</t>
  </si>
  <si>
    <t xml:space="preserve">Pistache triturado </t>
  </si>
  <si>
    <t>Mousse de pistache</t>
  </si>
  <si>
    <t xml:space="preserve">Geleia de frutas vermelhas </t>
  </si>
  <si>
    <t>Frutas vermelhas congeladas</t>
  </si>
  <si>
    <t>Suco de limão</t>
  </si>
  <si>
    <r>
      <t xml:space="preserve">OVO TRUFADO
</t>
    </r>
    <r>
      <rPr>
        <sz val="16"/>
        <color rgb="FF541C00"/>
        <rFont val="Century Gothic"/>
        <family val="2"/>
      </rPr>
      <t>Pistache</t>
    </r>
  </si>
  <si>
    <t>Esponja</t>
  </si>
  <si>
    <t>Tegral Panettone Madre</t>
  </si>
  <si>
    <t>Gotas de Chocolate</t>
  </si>
  <si>
    <t>Carat +Sabor Ao Leite</t>
  </si>
  <si>
    <t>Deli Cheesecake</t>
  </si>
  <si>
    <t>CREME BASE</t>
  </si>
  <si>
    <t>CALDA DE CAFÉ</t>
  </si>
  <si>
    <t>Rum</t>
  </si>
  <si>
    <t>Café solúvel</t>
  </si>
  <si>
    <t>Biscoito Champagne</t>
  </si>
  <si>
    <t>MONTAGEM/DECORAÇÃO</t>
  </si>
  <si>
    <r>
      <t xml:space="preserve">TORTA CRUNCHY
</t>
    </r>
    <r>
      <rPr>
        <sz val="16"/>
        <color rgb="FF541C00"/>
        <rFont val="Century Gothic"/>
        <family val="2"/>
      </rPr>
      <t>Avelã</t>
    </r>
  </si>
  <si>
    <t>Satin Brownie</t>
  </si>
  <si>
    <t>MASSAS</t>
  </si>
  <si>
    <t>Massa Brownie</t>
  </si>
  <si>
    <t>Base Massa Frola</t>
  </si>
  <si>
    <t>Avelã torrada e triturada</t>
  </si>
  <si>
    <t>Carat Decorcrem Meio Amargo</t>
  </si>
  <si>
    <t>Crunchy</t>
  </si>
  <si>
    <t>Mini Ovos</t>
  </si>
  <si>
    <t>Fermento químico</t>
  </si>
  <si>
    <t>Confira os custos das receitas do nosso Guia de Páscoa 2026!</t>
  </si>
  <si>
    <r>
      <rPr>
        <b/>
        <sz val="16"/>
        <color theme="1"/>
        <rFont val="Century Gothic"/>
        <family val="2"/>
      </rPr>
      <t>Observação:</t>
    </r>
    <r>
      <rPr>
        <sz val="16"/>
        <color theme="1"/>
        <rFont val="Century Gothic"/>
        <family val="2"/>
      </rPr>
      <t xml:space="preserve"> os custos considerados são de São Paulo, adapte e personalize com os custos reais para sua região nas células em amarelo! </t>
    </r>
  </si>
  <si>
    <t>Derreta o Carat +Sabor Caramelo conforme as instruções da embalagem. Aplique o produto derretido no molde de barra, garantindo cobertura uniforme. Leve à refrigeração até ocorrer a cristalização completa.</t>
  </si>
  <si>
    <t>Em um bowl, misture o Carat Decorcrem Caramelo com os flocos de milho açucarados até obter uma textura homogênea. Preencha o molde com essa mistura, formando o recheio. Sele a barra aplicando uma camada de Carat +Sabor Caramelo derretido sobre o recheio. Refrigere novamente até a cristalização total.</t>
  </si>
  <si>
    <t>Desenforme cuidadosamente e finalize aplicando o corante dourado em pó com auxílio de um pincel macio para dar acabamento decorativo.</t>
  </si>
  <si>
    <t>Na batedeira, coloque todos os ingredientes da massa e bata com o batedor raquete por 2 minutos em velocidade média. Transfira para formas de 15 cm, previamente untadas com Destak Spray. Asse em forno lastro pré-aquecido a 180°C por aproximadamente 30 minutos. Deixe esfriar completamente e corte em camadas de 2 cm de espessura.
Umedeça cada camada da massa com 40 g de Calda Dulcerío.</t>
  </si>
  <si>
    <t>Sobre cada camada umedecida, aplique 150 g de Recheio Gourmet Brigadeiro.</t>
  </si>
  <si>
    <t>Ganache meio amargo: 
Aqueça o Chantypak e a glucose até levantar fervura. Despeje sobre os chocolates (Chocolanté Ao Leite e Chocolanté Meio Amargo) e misture até homogeneizar. Quando atingir 40°C, adicione a manteiga e processe com mixer para obter textura lisa. Leve à refrigeração até atingir consistência cremosa.
Ganache verde: 
Derreta o Carat +Sabor Branco conforme instruções da embalagem. Misture com o Chantypak aquecido e o corante verde, homogeneizando bem. Leve à refrigeração até obter textura cremosa.
Decoração:
Com o auxílio de uma espátula, cubra e espatule todo o bolo com a Ganache Meio Amargo e com o auxílio de um bico de
confeitar, aplique a Ganache Verde no topo do bolo. Derreta o Carat +Sabor Branco conforme instruções da embalagem. Divida em porções, adicione corantes em pó para chocolate e molde em formas de coelhos e ovos.
Leve à refrigeração até cristalização completa. Desenforme e aplique sobre o bolo para finalizar.</t>
  </si>
  <si>
    <t>Na batedeira, coloque todos os ingredientes da massa e bata
com o batedor raquete por 2 minutos em velocidade média.
Transfira para formas de 15 cm, previamente untadas com Destak Spray. Asse em forno lastro pré-aquecido a 180°C por aproximadamente 30 minutos. Deixe esfriar completamente e corte em camadas de 2 cm de espessura.
Umedeça cada camada da massa com 40 g de Calda Dulcerío.</t>
  </si>
  <si>
    <t>Em uma panela, misture leite condensado, creme de leite e Chocolanté Meio Amargo. Cozinhe em fogo médio, mexendo sempre, até atingir ponto de recheio. Transfira para um
recipiente, cubra com plástico filme em contato e leve à refrigeração. Após esfriar, aplique 150 g de recheio sobre cada camada previamente umedecida.</t>
  </si>
  <si>
    <t xml:space="preserve">Cobertura: 
Na batedeira com batedor globo, bata o Ambiante bem refrigerado conforme instruções da embalagem. Espatule sobre o bolo para acabamento.
Decoração -  biscoito: Na batedeira, misture todos os ingredientes com batedor raquete até formar uma massa homogênea. Abra a massa entre duas folhas de papel manteiga até atingir 3 mm de espessura e leve para refrigerar. Corte em formato de coelhos com cortadores e transfira para assadeira untada com Destak Spray. Asse em forno lastro ou turbo pré-aquecido a 180°C por cerca de 12 minutos.
Com os biscoitos frios, derreta o Carat +Sabor Branco conforme instruções da embalagem. Banhe os biscoitos, decore com confeitos variados, espere cristalizar completamente e aplique sobre o bolo confeitado.
</t>
  </si>
  <si>
    <t>1ª Etapa - Casca:</t>
  </si>
  <si>
    <t>Derreta o Carat +Sabor Branco conforme instruções da embalagem. Aplique no molde de ovo de 250 g, escorra o
excesso e raspe as bordas. Leve à refrigeração até cristalizar.
Desenforme e reserve.</t>
  </si>
  <si>
    <t>Na batedeira, coloque primeiro os líquidos e depois a mistura.
Bata por 3 minutos em velocidade lenta até obter massa
homogênea. Aplique sobre assadeira forrada com papel
manteiga. Asse em forno lastro a 170 °C por aproximadamente
25 minutos ou em forno turbo a 150 °C por aproximadamente
de 18 minutos. Deixe esfriar e corte as fatias.</t>
  </si>
  <si>
    <t xml:space="preserve">2ª Etapa - Bolo: </t>
  </si>
  <si>
    <t xml:space="preserve">3ª Etapa - Recheio e montagem: </t>
  </si>
  <si>
    <t>Recheie as cascas alternando Satin Chocolate, Supercrem
Avelã e Supercrem Branco com Avelã. Decore com bico de
confeitar. Leve à refrigeração até cristalizar.</t>
  </si>
  <si>
    <t>Derreta o Carat +Sabor Meio Amargo conforme instruções
da embalagem. Aplique no molde de ovo de 250 g, vire para
escorrer o excesso e raspe as bordas. Leve à refrigeração até
cristalizar. Desenforme e reserve.</t>
  </si>
  <si>
    <t>Na batedeira, adicione primeiro os líquidos e depois a mistura. Bata com batedor raquete por 3 minutos em velocidade
lenta até obter massa homogênea. Aplique sobre assadeira forrada com papel manteiga. Asse em forno lastro a 170 °C
por aproximadamente 25 minutos ou em forno turbo a 150 °C por aproximadamente de 18 minutos. Deixe esfriar e corte fatias para o recheio.</t>
  </si>
  <si>
    <t>Ganache:
Aqueça o Chantypak até ferver. Verta sobre o Chocolanté e a manteiga em ponto de pomada; misture até derreter. Adicione o Ambiante gelado e homogeneíze com mixer ou espátula. Cubra com plástico em contato e deixe descansar 24 h fora da geladeira. Após esse período, leve à geladeira e reserve.
Cobertura crunchy:
Misture o Carat +Sabor derretido com os cereais até obter cobertura homogênea. Reserve.
Montagem:
Recheie as cascas alternando camadas de bolo e ganache. Finalize com a cobertura crunchy. Leve à refrigeração até
cristalização.</t>
  </si>
  <si>
    <t>Esponja:
Em uma masseira, misture farinha, água e fermento biológico fresco em velocidade lenta até obter massa homogênea.
Depois, bata em velocidade rápida até que a massa fique firme e parcialmente desenvolvida. Transfira para um recipiente, cubra com plástico e deixe fermentar por 40 minutos.
Reforço:
Na masseira, adicione a esponja, o Tegral Soft’r Panettone e 90% da quantidade de água. Bata na primeira velocidade
(lenta) até homogeneizar. Aumente para segunda velocidade (rápida) e desenvolva até atingir ponto de véu, tomando
cuidado para não exceder o batimento e adicionando aos poucos o restante da água. Incorpore o Chocolanté Branco
gelado e o pistache triturado na primeira velocidade, até misturar completamente. Retire da masseira e deixe descansar
em bloco sobre bancada untada com óleo por 30 minutos. Porcione em 450 g, modele e coloque em formas de papel. Fermente em estufa até a massa atingir 1 dedo abaixo da borda. Asse em forno turbo a 140°C por aproximadamente
30 minutos ou até atingir 92°C a 96°C no centro.</t>
  </si>
  <si>
    <t>Aguarde a colomba esfriar até cerca de 33°C. Faça 6 furos com
auxílio de uma faca e recheie com Carat Supercrem Pistache.</t>
  </si>
  <si>
    <t>Banhe com Carat Decorcrem Branco. Passe pistache triturado
fino sobre toda a superfície para acabamento aveludado.</t>
  </si>
  <si>
    <t>Na batedeira, com batedor raquete, bata manteiga, açúcar refinado e açúcar mascavo em velocidade alta até obter
um creme claro. Reduza para velocidade baixa e adicione ovos e gemas, misturando bem. Acrescente farinha de trigo e bicarbonato aos poucos, até formar uma massa homogênea. Incorpore as gotas de chocolate. Abra a massa com
espessura de 5 mm entre duas folhas de papel manteiga e leve à refrigeração.</t>
  </si>
  <si>
    <t>Em uma lata metálica, disponha uma camada de massa de cookie no fundo. Aplique uma camada de Carat
Supercrem Pistache com auxílio de manga de confeitar. Alterne as camadas até formar 3 camadas de cookie e
2 camadas de creme de pistache. Asse em forno lastro pré-aquecido a 170°C por 20 minutos ou em forno turbo a
150°C por 20 minutos.</t>
  </si>
  <si>
    <t>1ª Etapa - Brioche:</t>
  </si>
  <si>
    <t>Em uma masseira, misture ovos, fermento e 2/3 da água em velocidade baixa por 7 minutos, adicionando o restante da água aos poucos. Aumente a velocidade e bata até atingir ponto de véu. Divida a massa em porções de 20 g e coloque na fermentadora até dobrar de volume. Asse em forno turbo pré-aquecido a 150°C por 10 minutos ou em forno lastro a 180°C por 10 minutos.</t>
  </si>
  <si>
    <t>Creme diplomata:
Aqueça o leite até levantar fervura. Adicione o CPT Finesse e misture com fouet até homogeneizar. Acrescente o Chocolanté Ao Leite e mexa até obter creme liso e homogêneo. Deixe esfriar.
Creme Chiboust:
Bata o Chantypak Chocolate com Avelã bem refrigerado na batedeira com batedor globo por 5 minutos em velocidade média. Incorpore delicadamente ao Creme Diplomata em temperatura ambiente. Reserve.</t>
  </si>
  <si>
    <t>Com faca de serra, faça um corte em formato de V na parte superior do brioche. Aplique Creme Diplomata no centro e
complete com Creme Chiboust. Finalize polvilhando cacau em pó com auxílio de peneira.</t>
  </si>
  <si>
    <t xml:space="preserve">3ª Etapa - Montagem: </t>
  </si>
  <si>
    <t>1ª Etapa - Casca e pão de ló:</t>
  </si>
  <si>
    <t xml:space="preserve">Derreta o Belcolade Selection Blanc e faça a temperagem
do chocolate segundo as instruções da embalagem.
Misture o pistache triturado ao chocolate derretido. Aplique na forma para ovo de Páscoa de 250 g, vire para escorrer o excesso e raspe as bordas. Leve à refrigeração até cristalização completa e desenforme.
Pão de ló:
Na batedeira com batedor globo, misture Pão de Ló X-PRESS e água. Bata em velocidade alta por 8 minutos. Incorpore o pistache triturado. Espalhe a massa sobre assadeira forrada com papel manteiga, com espessura de 3 cm. Asse em forno turbo pré-aquecido a 160°C por 15 minutos ou em forno lastro a 180°C por 15 minutos. Deixe esfriar e corte em
pedaços para montagem.
</t>
  </si>
  <si>
    <t>Mousse de pistache:
Bata o Ambiante bem refrigerado na batedeira com batedor globo por 5 minutos em velocidade média. Adicione o Carat Supercrem Pistache e misture até homogeneizar.
Geleia:
Misture todos os ingredientes em uma panela e ferver até obter ponto de geleia.</t>
  </si>
  <si>
    <t>Com o auxílio de uma manga de confeitar, aplique uma camada de Carat Supercrem Pistache no fundo da casca.
Adicione uma camada de pão de ló de pistache. Depois, aplique a geleia de frutas vermelhas. Complete com mousse de pistache para selar. Decore com bico de confeitar e finalize com geleia no centro.</t>
  </si>
  <si>
    <t>Derreta e tempere o Chocolanté Branco conforme as instruções da embalagem. Misture o pistache triturado ao
chocolate temperado. Aplique na forma para ovo de Páscoa de 250 g, bata levemente para eliminar bolhas, vire para
escorrer o excesso e raspe as bordas com espátula. Leve à refrigeração até pré-cristalização.</t>
  </si>
  <si>
    <t>Geleia: Misture todos os ingredientes em uma panela e ferver até obter ponto de geleia.</t>
  </si>
  <si>
    <t>Com manga de confeitar, aplique uma camada de geleia de frutas vermelhas no fundo da casca. Adicione uma
camada de Carat Supercrem Pistache sobre a geleia. Sele a cavidade com Chocolanté Branco temperado. Leve à refrigeração até cristalização completa.</t>
  </si>
  <si>
    <t>Esponja:
Em uma masseira, misture farinha, água e fermento biológico fresco em velocidade lenta até obter massa homogênea.
Bata em velocidade rápida até que a massa fique firme e parcialmente desenvolvida. Transfira para um recipiente, cubra com plástico e deixe fermentar por 40 minutos.
Reforço:
Na masseira, adicione Tegral Panettone Madre, água gelada e a esponja. Misture em velocidade lenta até
homogeneizar. Bata em velocidade rápida até a massa ficar lisa e elástica. Incorpore as gotas de chocolate em
velocidade lenta até distribuir uniformemente. Deixe descansar na mesa por 1 hora. Divida em peças de 2000 g,
abra sobre assadeiras com espessura de 2 cm. Fermente por 1 hora na estufa. Asse em forno pré-aquecido a 180°C por
aproximadamente 25 minutos.</t>
  </si>
  <si>
    <t>Após esfriar, corte a massa em cubos de 2 x 2 cm. Derreta o Carat +Sabor (Meio Amargo, Caramelo e Ao Leite) conforme instruções da embalagem, banhe os cubos e deixe cristalizar.
Finalize fazendo riscos decorativos com Carat +Sabor Branco derretido.</t>
  </si>
  <si>
    <t>1ª Etapa - Creme base:</t>
  </si>
  <si>
    <t>Na batedeira com batedor globo, bata gemas pasteurizadas e açúcar refinado em velocidade média
até dobrar de volume. Adicione Deli Cheesecake e Carat Supercrem, batendo por mais 1 minuto. Reserve. Bata o
Chantypak bem refrigerado por 5 minutos em velocidade média até formar chantilly. Incorpore delicadamente ao
creme que foi separado. Mantenha à parte.</t>
  </si>
  <si>
    <t>Gemas pasteurizadas</t>
  </si>
  <si>
    <t>Calda de café:
Em uma panela pequena, misture água, rum e café
solúvel. Aqueça por 3 minutos, mexendo até dissolver
completamente. Deixe esfriar.</t>
  </si>
  <si>
    <t>Em taças de sobremesa, aplique uma camada do creme até metade do recipiente. Umedeça os biscoitos champagne na calda de café e disponha sobre o creme. Cubra com mais uma camada de creme. Finalize peneirando cacau em pó
sobre a superfície.
Derreta o Carat +Sabor Meio Amargo conforme instruções da embalagem. Aplique em moldes decorativos (coelhos ou formatos desejados). Leve à refrigeração até cristalização completa, desenforme e decore a sobremesa com cacau em pó.</t>
  </si>
  <si>
    <t>1ª Etapa - Brownie e massa frola:</t>
  </si>
  <si>
    <t>Brownie:
Derreta a manteiga no micro-ondas até obter uma textura líquida. Misture todos os ingredientes em uma batedeira com o batedor raquete e bata em velocidade lenta por 2 minutos. Deposite a massa em uma assadeira previamente forrada
com papel manteiga e asse em forno turbo pré-aquecido a 150°C por 30 minutos ou em forno de lastro pré-aquecido a 170°C por 30 minutos. Reserve.
Massa frola:
Na batedeira com o batedor raquete, bata a manteiga e o açúcar em velocidade rápida até homogeneizar completamente. Adicione os ovos e continue batendo. Por fim, adicione os ingredientes secos e misture em velocidade lenta para não desenvolver glúten. Abra a massa até a espessura de 0,3 cm e revista o fundo das formas para tortinhas. Asse em forno turbo pré-aquecido a 160°C por 15 minutos ou em forno de lastro pré-aquecido a 180°C por 15 minutos.</t>
  </si>
  <si>
    <t>Misture os ingredientes e reserve.</t>
  </si>
  <si>
    <t>Crunchy meio amargo:
Derreta o Carat +Sabor seguindo as instruções da embalagem. Misture ao Carat Decorcrem e ao cereal de
flocos de milho. Reserve.
Mini ovos:
Derreta o Carat +Sabor seguindo as instruções da embalagem. Aplique em formas de acetato no formato de mini coelhos e leve para a refrigeração até a completa cristalização. Desenforme e reserve.
Montagem:
Aplique um disco de brownie no interior da base de massa frola. Em seguida, adicione o creme crocante de avelã.
Aplique o crunchy no topo da torta e decore com o coelho preparado com o Carat + Sabor.</t>
  </si>
  <si>
    <t>Em batedeira ou masseira, adicione Tegral Panettone Madre, manteiga, açúcar mascavo e fermento químico; misture por 2 minutos. Acrescente os ovos e bata até homogeneizar. Adicione o Carat +Sabor Meio Amargo picado e misture até incorporar. Divida a massa em peças de 200 g, boleie e distribua em assadeiras untadas. Faça uma marcação em forma de triângulo na superfície. Asse em forno turbo pré-aquecido a 150°C por 26 minutos ou em forno de lastro pré-aquecido a 180°C por 30 minutos. Deixe esfriar.</t>
  </si>
  <si>
    <t>Derreta o Carat +Sabor Branco ou Meio Amargo conforme as instruções da embalagem. Banhe metade de cada cookie, intercalando os sabores de Carat derretido entre as unidades. Coloque sobre papel manteiga e leve à geladeira até cristalizar.</t>
  </si>
  <si>
    <t>TRIO CROCANTE</t>
  </si>
  <si>
    <t>BOLO DE CHOCO E BRIGADEIRO</t>
  </si>
  <si>
    <t>COOKIE NA LATA</t>
  </si>
  <si>
    <t>MARITOZZO</t>
  </si>
  <si>
    <t>OVO DE COLHER</t>
  </si>
  <si>
    <t>OVO TRUFADO</t>
  </si>
  <si>
    <t>TIRAMISÚ</t>
  </si>
  <si>
    <t>TORTA CRUNCHY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</si>
</sst>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&quot;R$&quot;\ #,##0.00"/>
    <numFmt numFmtId="166" formatCode="&quot;R$&quot;\ #,##0.00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entury Gothic"/>
      <family val="2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rgb="FFFF0000"/>
      <name val="Century Gothic"/>
      <family val="2"/>
    </font>
    <font>
      <sz val="11"/>
      <color rgb="FF000000"/>
      <name val="Century Gothic"/>
      <family val="2"/>
    </font>
    <font>
      <b/>
      <sz val="12"/>
      <color theme="1"/>
      <name val="Century Gothic"/>
      <family val="2"/>
    </font>
    <font>
      <b/>
      <sz val="12"/>
      <color rgb="FF000000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3"/>
      <color rgb="FFFF0000"/>
      <name val="Century Gothic"/>
      <family val="2"/>
    </font>
    <font>
      <sz val="10"/>
      <color rgb="FFFF0000"/>
      <name val="Century Gothic"/>
      <family val="2"/>
    </font>
    <font>
      <sz val="12"/>
      <name val="Century Gothic"/>
      <family val="2"/>
    </font>
    <font>
      <sz val="10"/>
      <name val="Century Gothic"/>
      <family val="2"/>
    </font>
    <font>
      <b/>
      <sz val="16"/>
      <color theme="0"/>
      <name val="Century Gothic"/>
      <family val="2"/>
    </font>
    <font>
      <sz val="11"/>
      <color theme="0"/>
      <name val="Century Gothic"/>
      <family val="2"/>
    </font>
    <font>
      <sz val="11"/>
      <color rgb="FFFF0000"/>
      <name val="Century Gothic"/>
      <family val="2"/>
    </font>
    <font>
      <sz val="9"/>
      <name val="Century Gothic"/>
      <family val="2"/>
    </font>
    <font>
      <b/>
      <sz val="24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22"/>
      <color rgb="FF602000"/>
      <name val="Century Gothic"/>
      <family val="2"/>
    </font>
    <font>
      <b/>
      <sz val="24"/>
      <color rgb="FF602000"/>
      <name val="Century Gothic"/>
      <family val="2"/>
    </font>
    <font>
      <b/>
      <sz val="36"/>
      <color theme="0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sz val="16"/>
      <color rgb="FF602000"/>
      <name val="Century Gothic"/>
      <family val="2"/>
    </font>
    <font>
      <b/>
      <sz val="24"/>
      <color rgb="FF541C00"/>
      <name val="Century Gothic"/>
      <family val="2"/>
    </font>
    <font>
      <sz val="16"/>
      <color rgb="FF541C00"/>
      <name val="Century Gothic"/>
      <family val="2"/>
    </font>
    <font>
      <b/>
      <sz val="16"/>
      <color theme="1"/>
      <name val="Century Gothic"/>
      <family val="2"/>
    </font>
    <font>
      <sz val="16"/>
      <color theme="1"/>
      <name val="Century Gothic"/>
      <family val="2"/>
    </font>
    <font>
      <b/>
      <u/>
      <sz val="18"/>
      <color theme="0"/>
      <name val="Century Gothic"/>
      <family val="2"/>
    </font>
    <font>
      <b/>
      <u/>
      <sz val="16"/>
      <color theme="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41C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indexed="64"/>
      </left>
      <right/>
      <top/>
      <bottom style="medium">
        <color theme="0"/>
      </bottom>
      <diagonal/>
    </border>
    <border>
      <left/>
      <right style="medium">
        <color indexed="64"/>
      </right>
      <top/>
      <bottom style="medium">
        <color theme="0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49">
    <xf numFmtId="0" fontId="0" fillId="0" borderId="0" xfId="0"/>
    <xf numFmtId="0" fontId="2" fillId="0" borderId="0" xfId="0" applyFont="1"/>
    <xf numFmtId="0" fontId="4" fillId="0" borderId="0" xfId="0" applyFont="1"/>
    <xf numFmtId="0" fontId="6" fillId="2" borderId="1" xfId="0" applyFont="1" applyFill="1" applyBorder="1" applyAlignment="1">
      <alignment horizontal="center"/>
    </xf>
    <xf numFmtId="0" fontId="7" fillId="0" borderId="2" xfId="0" applyFont="1" applyBorder="1"/>
    <xf numFmtId="3" fontId="8" fillId="0" borderId="3" xfId="0" applyNumberFormat="1" applyFont="1" applyBorder="1" applyAlignment="1">
      <alignment horizontal="center" vertical="center"/>
    </xf>
    <xf numFmtId="165" fontId="4" fillId="3" borderId="4" xfId="0" applyNumberFormat="1" applyFont="1" applyFill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0" fontId="4" fillId="0" borderId="6" xfId="0" applyFont="1" applyBorder="1"/>
    <xf numFmtId="3" fontId="8" fillId="0" borderId="7" xfId="0" applyNumberFormat="1" applyFont="1" applyBorder="1" applyAlignment="1">
      <alignment horizontal="center" vertical="center"/>
    </xf>
    <xf numFmtId="165" fontId="4" fillId="3" borderId="7" xfId="0" applyNumberFormat="1" applyFont="1" applyFill="1" applyBorder="1" applyAlignment="1">
      <alignment horizontal="center"/>
    </xf>
    <xf numFmtId="165" fontId="4" fillId="0" borderId="8" xfId="0" applyNumberFormat="1" applyFont="1" applyBorder="1" applyAlignment="1">
      <alignment horizontal="center"/>
    </xf>
    <xf numFmtId="0" fontId="9" fillId="4" borderId="9" xfId="0" applyFont="1" applyFill="1" applyBorder="1"/>
    <xf numFmtId="3" fontId="10" fillId="4" borderId="10" xfId="0" applyNumberFormat="1" applyFont="1" applyFill="1" applyBorder="1" applyAlignment="1">
      <alignment horizontal="center" vertical="center"/>
    </xf>
    <xf numFmtId="165" fontId="9" fillId="4" borderId="10" xfId="0" applyNumberFormat="1" applyFont="1" applyFill="1" applyBorder="1" applyAlignment="1">
      <alignment horizontal="center"/>
    </xf>
    <xf numFmtId="165" fontId="9" fillId="4" borderId="11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0" fontId="4" fillId="0" borderId="12" xfId="0" applyFont="1" applyBorder="1"/>
    <xf numFmtId="3" fontId="8" fillId="0" borderId="13" xfId="0" applyNumberFormat="1" applyFont="1" applyBorder="1" applyAlignment="1">
      <alignment horizontal="center" vertical="center"/>
    </xf>
    <xf numFmtId="165" fontId="4" fillId="3" borderId="13" xfId="0" applyNumberFormat="1" applyFont="1" applyFill="1" applyBorder="1" applyAlignment="1">
      <alignment horizontal="center"/>
    </xf>
    <xf numFmtId="165" fontId="4" fillId="0" borderId="14" xfId="0" applyNumberFormat="1" applyFont="1" applyBorder="1" applyAlignment="1">
      <alignment horizontal="center"/>
    </xf>
    <xf numFmtId="0" fontId="7" fillId="0" borderId="12" xfId="0" applyFont="1" applyBorder="1"/>
    <xf numFmtId="0" fontId="6" fillId="2" borderId="1" xfId="0" applyFont="1" applyFill="1" applyBorder="1"/>
    <xf numFmtId="0" fontId="7" fillId="0" borderId="6" xfId="0" applyFont="1" applyBorder="1"/>
    <xf numFmtId="0" fontId="5" fillId="0" borderId="15" xfId="0" applyFont="1" applyBorder="1"/>
    <xf numFmtId="0" fontId="4" fillId="0" borderId="16" xfId="0" applyFont="1" applyBorder="1"/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18" xfId="0" applyFont="1" applyBorder="1"/>
    <xf numFmtId="165" fontId="4" fillId="0" borderId="19" xfId="0" applyNumberFormat="1" applyFont="1" applyBorder="1" applyAlignment="1">
      <alignment horizontal="center"/>
    </xf>
    <xf numFmtId="0" fontId="6" fillId="0" borderId="18" xfId="0" applyFont="1" applyBorder="1"/>
    <xf numFmtId="0" fontId="6" fillId="0" borderId="18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1" xfId="0" applyFont="1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 wrapText="1"/>
    </xf>
    <xf numFmtId="0" fontId="4" fillId="0" borderId="15" xfId="0" applyFont="1" applyBorder="1"/>
    <xf numFmtId="0" fontId="0" fillId="0" borderId="16" xfId="0" applyBorder="1"/>
    <xf numFmtId="0" fontId="4" fillId="0" borderId="17" xfId="0" applyFont="1" applyBorder="1"/>
    <xf numFmtId="0" fontId="4" fillId="0" borderId="0" xfId="0" applyFont="1" applyAlignment="1">
      <alignment horizontal="center" vertical="center" wrapText="1"/>
    </xf>
    <xf numFmtId="0" fontId="4" fillId="0" borderId="19" xfId="0" applyFont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165" fontId="4" fillId="0" borderId="0" xfId="0" applyNumberFormat="1" applyFont="1"/>
    <xf numFmtId="165" fontId="4" fillId="0" borderId="0" xfId="0" applyNumberFormat="1" applyFont="1" applyAlignment="1">
      <alignment horizontal="center"/>
    </xf>
    <xf numFmtId="165" fontId="6" fillId="2" borderId="0" xfId="0" applyNumberFormat="1" applyFont="1" applyFill="1"/>
    <xf numFmtId="165" fontId="6" fillId="2" borderId="0" xfId="0" applyNumberFormat="1" applyFont="1" applyFill="1" applyAlignment="1">
      <alignment horizontal="center"/>
    </xf>
    <xf numFmtId="3" fontId="4" fillId="0" borderId="0" xfId="0" applyNumberFormat="1" applyFont="1" applyAlignment="1">
      <alignment horizontal="center"/>
    </xf>
    <xf numFmtId="9" fontId="6" fillId="3" borderId="0" xfId="0" applyNumberFormat="1" applyFont="1" applyFill="1" applyAlignment="1">
      <alignment horizont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4" fillId="0" borderId="0" xfId="0" applyFont="1" applyAlignment="1">
      <alignment vertical="center"/>
    </xf>
    <xf numFmtId="0" fontId="17" fillId="5" borderId="0" xfId="0" applyFont="1" applyFill="1" applyAlignment="1">
      <alignment horizontal="centerContinuous"/>
    </xf>
    <xf numFmtId="0" fontId="18" fillId="5" borderId="0" xfId="0" applyFont="1" applyFill="1" applyAlignment="1">
      <alignment horizontal="centerContinuous"/>
    </xf>
    <xf numFmtId="0" fontId="13" fillId="0" borderId="0" xfId="0" applyFont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5" fillId="0" borderId="19" xfId="0" applyFont="1" applyBorder="1" applyAlignment="1">
      <alignment vertical="center" wrapText="1"/>
    </xf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16" fillId="0" borderId="19" xfId="0" applyFont="1" applyBorder="1" applyAlignment="1">
      <alignment vertical="top" wrapText="1"/>
    </xf>
    <xf numFmtId="0" fontId="16" fillId="0" borderId="0" xfId="0" applyFont="1" applyAlignment="1">
      <alignment vertical="top" wrapText="1"/>
    </xf>
    <xf numFmtId="0" fontId="6" fillId="0" borderId="6" xfId="0" applyFont="1" applyBorder="1"/>
    <xf numFmtId="0" fontId="19" fillId="0" borderId="6" xfId="0" applyFont="1" applyBorder="1"/>
    <xf numFmtId="0" fontId="19" fillId="0" borderId="12" xfId="0" applyFont="1" applyBorder="1"/>
    <xf numFmtId="0" fontId="4" fillId="0" borderId="23" xfId="0" applyFont="1" applyBorder="1"/>
    <xf numFmtId="166" fontId="4" fillId="3" borderId="7" xfId="0" applyNumberFormat="1" applyFont="1" applyFill="1" applyBorder="1" applyAlignment="1">
      <alignment horizontal="center"/>
    </xf>
    <xf numFmtId="0" fontId="6" fillId="6" borderId="0" xfId="0" applyFont="1" applyFill="1"/>
    <xf numFmtId="0" fontId="4" fillId="6" borderId="0" xfId="0" applyFont="1" applyFill="1"/>
    <xf numFmtId="165" fontId="4" fillId="3" borderId="24" xfId="0" applyNumberFormat="1" applyFont="1" applyFill="1" applyBorder="1" applyAlignment="1">
      <alignment horizontal="center"/>
    </xf>
    <xf numFmtId="0" fontId="6" fillId="0" borderId="19" xfId="0" applyFont="1" applyBorder="1"/>
    <xf numFmtId="3" fontId="7" fillId="0" borderId="7" xfId="0" applyNumberFormat="1" applyFont="1" applyBorder="1" applyAlignment="1">
      <alignment horizontal="center" vertical="center"/>
    </xf>
    <xf numFmtId="165" fontId="7" fillId="3" borderId="13" xfId="0" applyNumberFormat="1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0" fontId="7" fillId="0" borderId="18" xfId="0" applyFont="1" applyBorder="1"/>
    <xf numFmtId="0" fontId="7" fillId="0" borderId="0" xfId="0" applyFont="1"/>
    <xf numFmtId="0" fontId="7" fillId="0" borderId="19" xfId="0" applyFont="1" applyBorder="1"/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28" fillId="0" borderId="6" xfId="0" applyFont="1" applyBorder="1"/>
    <xf numFmtId="0" fontId="29" fillId="0" borderId="6" xfId="0" applyFont="1" applyBorder="1"/>
    <xf numFmtId="0" fontId="7" fillId="0" borderId="25" xfId="0" applyFont="1" applyBorder="1"/>
    <xf numFmtId="0" fontId="9" fillId="0" borderId="0" xfId="0" applyFont="1"/>
    <xf numFmtId="3" fontId="10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/>
    </xf>
    <xf numFmtId="3" fontId="8" fillId="0" borderId="4" xfId="0" applyNumberFormat="1" applyFont="1" applyBorder="1" applyAlignment="1">
      <alignment horizontal="center" vertical="center"/>
    </xf>
    <xf numFmtId="165" fontId="4" fillId="0" borderId="26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165" fontId="9" fillId="4" borderId="14" xfId="0" applyNumberFormat="1" applyFont="1" applyFill="1" applyBorder="1" applyAlignment="1">
      <alignment horizontal="center"/>
    </xf>
    <xf numFmtId="165" fontId="9" fillId="0" borderId="27" xfId="0" applyNumberFormat="1" applyFont="1" applyBorder="1" applyAlignment="1">
      <alignment horizontal="center"/>
    </xf>
    <xf numFmtId="0" fontId="29" fillId="0" borderId="2" xfId="0" applyFont="1" applyBorder="1"/>
    <xf numFmtId="0" fontId="28" fillId="0" borderId="2" xfId="0" applyFont="1" applyBorder="1"/>
    <xf numFmtId="0" fontId="6" fillId="0" borderId="12" xfId="0" applyFont="1" applyBorder="1"/>
    <xf numFmtId="0" fontId="29" fillId="0" borderId="28" xfId="0" applyFont="1" applyBorder="1"/>
    <xf numFmtId="3" fontId="28" fillId="0" borderId="3" xfId="0" applyNumberFormat="1" applyFont="1" applyBorder="1" applyAlignment="1">
      <alignment horizontal="center" vertical="center"/>
    </xf>
    <xf numFmtId="165" fontId="28" fillId="3" borderId="13" xfId="0" applyNumberFormat="1" applyFont="1" applyFill="1" applyBorder="1" applyAlignment="1">
      <alignment horizontal="center"/>
    </xf>
    <xf numFmtId="165" fontId="28" fillId="0" borderId="5" xfId="0" applyNumberFormat="1" applyFont="1" applyBorder="1" applyAlignment="1">
      <alignment horizontal="center"/>
    </xf>
    <xf numFmtId="3" fontId="28" fillId="0" borderId="7" xfId="0" applyNumberFormat="1" applyFont="1" applyBorder="1" applyAlignment="1">
      <alignment horizontal="center" vertical="center"/>
    </xf>
    <xf numFmtId="165" fontId="28" fillId="0" borderId="8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 vertical="center"/>
    </xf>
    <xf numFmtId="3" fontId="28" fillId="0" borderId="4" xfId="0" applyNumberFormat="1" applyFont="1" applyBorder="1" applyAlignment="1">
      <alignment horizontal="center" vertical="center"/>
    </xf>
    <xf numFmtId="3" fontId="28" fillId="0" borderId="29" xfId="0" applyNumberFormat="1" applyFont="1" applyBorder="1" applyAlignment="1">
      <alignment horizontal="center" vertical="center"/>
    </xf>
    <xf numFmtId="165" fontId="28" fillId="0" borderId="30" xfId="0" applyNumberFormat="1" applyFont="1" applyBorder="1" applyAlignment="1">
      <alignment horizontal="center"/>
    </xf>
    <xf numFmtId="0" fontId="29" fillId="0" borderId="31" xfId="0" applyFont="1" applyBorder="1"/>
    <xf numFmtId="0" fontId="6" fillId="2" borderId="32" xfId="0" applyFont="1" applyFill="1" applyBorder="1"/>
    <xf numFmtId="0" fontId="6" fillId="2" borderId="32" xfId="0" applyFont="1" applyFill="1" applyBorder="1" applyAlignment="1">
      <alignment horizontal="center"/>
    </xf>
    <xf numFmtId="165" fontId="6" fillId="2" borderId="32" xfId="0" applyNumberFormat="1" applyFont="1" applyFill="1" applyBorder="1" applyAlignment="1">
      <alignment horizontal="center"/>
    </xf>
    <xf numFmtId="0" fontId="33" fillId="0" borderId="0" xfId="0" applyFont="1" applyAlignment="1">
      <alignment vertical="top"/>
    </xf>
    <xf numFmtId="0" fontId="34" fillId="0" borderId="0" xfId="0" applyFont="1" applyAlignment="1">
      <alignment vertical="top"/>
    </xf>
    <xf numFmtId="0" fontId="0" fillId="0" borderId="21" xfId="0" applyBorder="1"/>
    <xf numFmtId="0" fontId="0" fillId="0" borderId="19" xfId="0" applyBorder="1"/>
    <xf numFmtId="0" fontId="27" fillId="0" borderId="19" xfId="0" applyFont="1" applyBorder="1"/>
    <xf numFmtId="0" fontId="35" fillId="7" borderId="33" xfId="5" quotePrefix="1" applyFont="1" applyFill="1" applyBorder="1" applyAlignment="1">
      <alignment horizontal="center" vertical="center"/>
    </xf>
    <xf numFmtId="0" fontId="36" fillId="7" borderId="33" xfId="5" quotePrefix="1" applyFont="1" applyFill="1" applyBorder="1" applyAlignment="1">
      <alignment horizontal="center" vertical="center"/>
    </xf>
    <xf numFmtId="0" fontId="36" fillId="7" borderId="34" xfId="5" quotePrefix="1" applyFont="1" applyFill="1" applyBorder="1" applyAlignment="1">
      <alignment horizontal="center" vertical="center"/>
    </xf>
    <xf numFmtId="0" fontId="0" fillId="3" borderId="0" xfId="0" applyFill="1"/>
    <xf numFmtId="0" fontId="0" fillId="0" borderId="35" xfId="0" applyBorder="1"/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0" fillId="0" borderId="37" xfId="0" applyBorder="1"/>
    <xf numFmtId="0" fontId="0" fillId="0" borderId="18" xfId="0" applyBorder="1"/>
    <xf numFmtId="0" fontId="4" fillId="0" borderId="21" xfId="0" applyFont="1" applyBorder="1" applyAlignment="1">
      <alignment vertical="center"/>
    </xf>
    <xf numFmtId="0" fontId="27" fillId="7" borderId="0" xfId="0" applyFont="1" applyFill="1" applyAlignment="1">
      <alignment horizontal="center"/>
    </xf>
    <xf numFmtId="0" fontId="20" fillId="4" borderId="0" xfId="0" applyFont="1" applyFill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165" fontId="5" fillId="3" borderId="21" xfId="0" applyNumberFormat="1" applyFont="1" applyFill="1" applyBorder="1" applyAlignment="1">
      <alignment horizontal="center"/>
    </xf>
    <xf numFmtId="165" fontId="5" fillId="3" borderId="22" xfId="0" applyNumberFormat="1" applyFont="1" applyFill="1" applyBorder="1" applyAlignment="1">
      <alignment horizontal="center"/>
    </xf>
    <xf numFmtId="9" fontId="5" fillId="3" borderId="0" xfId="1" applyFont="1" applyFill="1" applyBorder="1" applyAlignment="1">
      <alignment horizontal="center"/>
    </xf>
    <xf numFmtId="9" fontId="5" fillId="3" borderId="19" xfId="1" applyFont="1" applyFill="1" applyBorder="1" applyAlignment="1">
      <alignment horizontal="center"/>
    </xf>
    <xf numFmtId="165" fontId="12" fillId="3" borderId="0" xfId="0" applyNumberFormat="1" applyFont="1" applyFill="1" applyAlignment="1">
      <alignment horizontal="center"/>
    </xf>
    <xf numFmtId="165" fontId="12" fillId="3" borderId="19" xfId="0" applyNumberFormat="1" applyFont="1" applyFill="1" applyBorder="1" applyAlignment="1">
      <alignment horizontal="center"/>
    </xf>
    <xf numFmtId="165" fontId="5" fillId="3" borderId="0" xfId="0" applyNumberFormat="1" applyFont="1" applyFill="1" applyAlignment="1">
      <alignment horizontal="center"/>
    </xf>
    <xf numFmtId="165" fontId="5" fillId="3" borderId="19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9" xfId="0" applyFont="1" applyBorder="1" applyAlignment="1">
      <alignment horizontal="center"/>
    </xf>
    <xf numFmtId="2" fontId="5" fillId="3" borderId="0" xfId="0" applyNumberFormat="1" applyFont="1" applyFill="1" applyAlignment="1">
      <alignment horizontal="center"/>
    </xf>
    <xf numFmtId="2" fontId="5" fillId="3" borderId="19" xfId="0" applyNumberFormat="1" applyFont="1" applyFill="1" applyBorder="1" applyAlignment="1">
      <alignment horizontal="center"/>
    </xf>
    <xf numFmtId="0" fontId="25" fillId="0" borderId="0" xfId="0" applyFont="1" applyAlignment="1">
      <alignment horizontal="left" vertical="top" wrapText="1"/>
    </xf>
    <xf numFmtId="4" fontId="5" fillId="3" borderId="0" xfId="0" applyNumberFormat="1" applyFont="1" applyFill="1" applyAlignment="1">
      <alignment horizontal="center"/>
    </xf>
    <xf numFmtId="4" fontId="5" fillId="3" borderId="19" xfId="0" applyNumberFormat="1" applyFont="1" applyFill="1" applyBorder="1" applyAlignment="1">
      <alignment horizontal="center"/>
    </xf>
    <xf numFmtId="0" fontId="22" fillId="0" borderId="0" xfId="0" applyFont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</cellXfs>
  <cellStyles count="6">
    <cellStyle name="Hiperlink" xfId="5" builtinId="8"/>
    <cellStyle name="Normal" xfId="0" builtinId="0"/>
    <cellStyle name="Normal 2" xfId="2" xr:uid="{B19F42E8-70F2-4ABC-B4AD-748D5FE6859D}"/>
    <cellStyle name="Porcentagem" xfId="1" builtinId="5"/>
    <cellStyle name="Porcentagem 2" xfId="3" xr:uid="{12CE8836-4397-43B6-917F-AFF1B6C1F4A4}"/>
    <cellStyle name="Vírgula 2" xfId="4" xr:uid="{552587D2-A3A2-41F0-8C51-A71445F2FA12}"/>
  </cellStyles>
  <dxfs count="0"/>
  <tableStyles count="0" defaultTableStyle="TableStyleMedium2" defaultPivotStyle="PivotStyleLight16"/>
  <colors>
    <mruColors>
      <color rgb="FF541C00"/>
      <color rgb="FF602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hyperlink" Target="#MENU!A1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hyperlink" Target="#MENU!A1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hyperlink" Target="#MENU!A1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jpeg"/><Relationship Id="rId2" Type="http://schemas.openxmlformats.org/officeDocument/2006/relationships/hyperlink" Target="#MENU!A1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2" Type="http://schemas.openxmlformats.org/officeDocument/2006/relationships/hyperlink" Target="#MENU!A1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hyperlink" Target="#MENU!A1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MENU!A1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hyperlink" Target="#MENU!A1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MENU!A1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6.jpe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hyperlink" Target="#MENU!A1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hyperlink" Target="#MENU!A1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hyperlink" Target="#MENU!A1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hyperlink" Target="#MENU!A1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11</xdr:row>
      <xdr:rowOff>423633</xdr:rowOff>
    </xdr:from>
    <xdr:to>
      <xdr:col>9</xdr:col>
      <xdr:colOff>139699</xdr:colOff>
      <xdr:row>14</xdr:row>
      <xdr:rowOff>347165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67700132-B923-46F7-5428-543600FA6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39600" y="4538433"/>
          <a:ext cx="2235199" cy="144753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</xdr:colOff>
      <xdr:row>0</xdr:row>
      <xdr:rowOff>64153</xdr:rowOff>
    </xdr:from>
    <xdr:to>
      <xdr:col>5</xdr:col>
      <xdr:colOff>1051560</xdr:colOff>
      <xdr:row>1</xdr:row>
      <xdr:rowOff>522793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CCB1A9D-EA22-4BE7-918C-ADA3AECDD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4580" y="64153"/>
          <a:ext cx="990600" cy="641520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1</xdr:row>
      <xdr:rowOff>487680</xdr:rowOff>
    </xdr:from>
    <xdr:to>
      <xdr:col>5</xdr:col>
      <xdr:colOff>998220</xdr:colOff>
      <xdr:row>2</xdr:row>
      <xdr:rowOff>129540</xdr:rowOff>
    </xdr:to>
    <xdr:sp macro="" textlink="">
      <xdr:nvSpPr>
        <xdr:cNvPr id="4" name="Seta: para a Esqu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9299BA-4D01-46B1-BE9A-9B77D0FBD28E}"/>
            </a:ext>
          </a:extLst>
        </xdr:cNvPr>
        <xdr:cNvSpPr/>
      </xdr:nvSpPr>
      <xdr:spPr>
        <a:xfrm>
          <a:off x="6225540" y="670560"/>
          <a:ext cx="876300" cy="327660"/>
        </a:xfrm>
        <a:prstGeom prst="leftArrow">
          <a:avLst>
            <a:gd name="adj1" fmla="val 63953"/>
            <a:gd name="adj2" fmla="val 50000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Century Gothic" panose="020B0502020202020204" pitchFamily="34" charset="0"/>
            </a:rPr>
            <a:t>VOLTAR</a:t>
          </a:r>
        </a:p>
      </xdr:txBody>
    </xdr:sp>
    <xdr:clientData/>
  </xdr:twoCellAnchor>
  <xdr:twoCellAnchor editAs="oneCell">
    <xdr:from>
      <xdr:col>3</xdr:col>
      <xdr:colOff>1038678</xdr:colOff>
      <xdr:row>0</xdr:row>
      <xdr:rowOff>60778</xdr:rowOff>
    </xdr:from>
    <xdr:to>
      <xdr:col>4</xdr:col>
      <xdr:colOff>997858</xdr:colOff>
      <xdr:row>4</xdr:row>
      <xdr:rowOff>111382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12F97B9-15D7-40AF-B3D1-2C1B14B470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44" t="22762" r="10980" b="18350"/>
        <a:stretch>
          <a:fillRect/>
        </a:stretch>
      </xdr:blipFill>
      <xdr:spPr bwMode="auto">
        <a:xfrm>
          <a:off x="5002892" y="60778"/>
          <a:ext cx="1084037" cy="1102890"/>
        </a:xfrm>
        <a:prstGeom prst="flowChartConnector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</xdr:colOff>
      <xdr:row>0</xdr:row>
      <xdr:rowOff>64153</xdr:rowOff>
    </xdr:from>
    <xdr:to>
      <xdr:col>5</xdr:col>
      <xdr:colOff>1051560</xdr:colOff>
      <xdr:row>1</xdr:row>
      <xdr:rowOff>522793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DE4BC25-326B-4EA4-A034-D7B6BD68C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4580" y="64153"/>
          <a:ext cx="990600" cy="641520"/>
        </a:xfrm>
        <a:prstGeom prst="rect">
          <a:avLst/>
        </a:prstGeom>
      </xdr:spPr>
    </xdr:pic>
    <xdr:clientData/>
  </xdr:twoCellAnchor>
  <xdr:twoCellAnchor>
    <xdr:from>
      <xdr:col>5</xdr:col>
      <xdr:colOff>152400</xdr:colOff>
      <xdr:row>1</xdr:row>
      <xdr:rowOff>495300</xdr:rowOff>
    </xdr:from>
    <xdr:to>
      <xdr:col>5</xdr:col>
      <xdr:colOff>1028700</xdr:colOff>
      <xdr:row>2</xdr:row>
      <xdr:rowOff>137160</xdr:rowOff>
    </xdr:to>
    <xdr:sp macro="" textlink="">
      <xdr:nvSpPr>
        <xdr:cNvPr id="5" name="Seta: para a Esquerd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BC5462-A19C-4475-8FAF-56804940EF70}"/>
            </a:ext>
          </a:extLst>
        </xdr:cNvPr>
        <xdr:cNvSpPr/>
      </xdr:nvSpPr>
      <xdr:spPr>
        <a:xfrm>
          <a:off x="6256020" y="678180"/>
          <a:ext cx="876300" cy="327660"/>
        </a:xfrm>
        <a:prstGeom prst="leftArrow">
          <a:avLst>
            <a:gd name="adj1" fmla="val 63953"/>
            <a:gd name="adj2" fmla="val 50000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Century Gothic" panose="020B0502020202020204" pitchFamily="34" charset="0"/>
            </a:rPr>
            <a:t>VOLTAR</a:t>
          </a:r>
        </a:p>
      </xdr:txBody>
    </xdr:sp>
    <xdr:clientData/>
  </xdr:twoCellAnchor>
  <xdr:twoCellAnchor editAs="oneCell">
    <xdr:from>
      <xdr:col>3</xdr:col>
      <xdr:colOff>1068457</xdr:colOff>
      <xdr:row>0</xdr:row>
      <xdr:rowOff>66457</xdr:rowOff>
    </xdr:from>
    <xdr:to>
      <xdr:col>4</xdr:col>
      <xdr:colOff>1032600</xdr:colOff>
      <xdr:row>4</xdr:row>
      <xdr:rowOff>109103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C4BEBC2-41AF-4242-BFF4-B65C86F76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53" b="14153"/>
        <a:stretch/>
      </xdr:blipFill>
      <xdr:spPr bwMode="auto">
        <a:xfrm>
          <a:off x="5032671" y="66457"/>
          <a:ext cx="1089000" cy="1094932"/>
        </a:xfrm>
        <a:prstGeom prst="flowChartConnector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</xdr:colOff>
      <xdr:row>0</xdr:row>
      <xdr:rowOff>64153</xdr:rowOff>
    </xdr:from>
    <xdr:to>
      <xdr:col>5</xdr:col>
      <xdr:colOff>1051560</xdr:colOff>
      <xdr:row>1</xdr:row>
      <xdr:rowOff>522793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74AF5F8-F741-46AC-B535-B8DAE067F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4580" y="64153"/>
          <a:ext cx="990600" cy="641520"/>
        </a:xfrm>
        <a:prstGeom prst="rect">
          <a:avLst/>
        </a:prstGeom>
      </xdr:spPr>
    </xdr:pic>
    <xdr:clientData/>
  </xdr:twoCellAnchor>
  <xdr:twoCellAnchor>
    <xdr:from>
      <xdr:col>5</xdr:col>
      <xdr:colOff>160020</xdr:colOff>
      <xdr:row>1</xdr:row>
      <xdr:rowOff>480060</xdr:rowOff>
    </xdr:from>
    <xdr:to>
      <xdr:col>5</xdr:col>
      <xdr:colOff>1036320</xdr:colOff>
      <xdr:row>2</xdr:row>
      <xdr:rowOff>121920</xdr:rowOff>
    </xdr:to>
    <xdr:sp macro="" textlink="">
      <xdr:nvSpPr>
        <xdr:cNvPr id="5" name="Seta: para a Esquerd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4FF220-C822-4F2A-BB7D-1ADAF4F15F6C}"/>
            </a:ext>
          </a:extLst>
        </xdr:cNvPr>
        <xdr:cNvSpPr/>
      </xdr:nvSpPr>
      <xdr:spPr>
        <a:xfrm>
          <a:off x="6263640" y="662940"/>
          <a:ext cx="876300" cy="327660"/>
        </a:xfrm>
        <a:prstGeom prst="leftArrow">
          <a:avLst>
            <a:gd name="adj1" fmla="val 63953"/>
            <a:gd name="adj2" fmla="val 50000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Century Gothic" panose="020B0502020202020204" pitchFamily="34" charset="0"/>
            </a:rPr>
            <a:t>VOLTAR</a:t>
          </a:r>
        </a:p>
      </xdr:txBody>
    </xdr:sp>
    <xdr:clientData/>
  </xdr:twoCellAnchor>
  <xdr:twoCellAnchor editAs="oneCell">
    <xdr:from>
      <xdr:col>4</xdr:col>
      <xdr:colOff>70600</xdr:colOff>
      <xdr:row>0</xdr:row>
      <xdr:rowOff>-43276</xdr:rowOff>
    </xdr:from>
    <xdr:to>
      <xdr:col>5</xdr:col>
      <xdr:colOff>33918</xdr:colOff>
      <xdr:row>3</xdr:row>
      <xdr:rowOff>1744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1E3628C-90EC-43C8-8E91-61527FE17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508" b="14508"/>
        <a:stretch/>
      </xdr:blipFill>
      <xdr:spPr bwMode="auto">
        <a:xfrm>
          <a:off x="5160221" y="-43276"/>
          <a:ext cx="1089000" cy="1084111"/>
        </a:xfrm>
        <a:prstGeom prst="flowChartConnector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</xdr:colOff>
      <xdr:row>0</xdr:row>
      <xdr:rowOff>64153</xdr:rowOff>
    </xdr:from>
    <xdr:to>
      <xdr:col>5</xdr:col>
      <xdr:colOff>1051560</xdr:colOff>
      <xdr:row>1</xdr:row>
      <xdr:rowOff>522793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1836152-9BF7-49F9-B528-10D829F67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4580" y="64153"/>
          <a:ext cx="990600" cy="641520"/>
        </a:xfrm>
        <a:prstGeom prst="rect">
          <a:avLst/>
        </a:prstGeom>
      </xdr:spPr>
    </xdr:pic>
    <xdr:clientData/>
  </xdr:twoCellAnchor>
  <xdr:twoCellAnchor>
    <xdr:from>
      <xdr:col>5</xdr:col>
      <xdr:colOff>160020</xdr:colOff>
      <xdr:row>1</xdr:row>
      <xdr:rowOff>464820</xdr:rowOff>
    </xdr:from>
    <xdr:to>
      <xdr:col>5</xdr:col>
      <xdr:colOff>1036320</xdr:colOff>
      <xdr:row>2</xdr:row>
      <xdr:rowOff>106680</xdr:rowOff>
    </xdr:to>
    <xdr:sp macro="" textlink="">
      <xdr:nvSpPr>
        <xdr:cNvPr id="4" name="Seta: para a Esqu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1835B0-C7F0-4046-9F6B-24429E0D564A}"/>
            </a:ext>
          </a:extLst>
        </xdr:cNvPr>
        <xdr:cNvSpPr/>
      </xdr:nvSpPr>
      <xdr:spPr>
        <a:xfrm>
          <a:off x="6263640" y="647700"/>
          <a:ext cx="876300" cy="327660"/>
        </a:xfrm>
        <a:prstGeom prst="leftArrow">
          <a:avLst>
            <a:gd name="adj1" fmla="val 63953"/>
            <a:gd name="adj2" fmla="val 50000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Century Gothic" panose="020B0502020202020204" pitchFamily="34" charset="0"/>
            </a:rPr>
            <a:t>VOLTAR</a:t>
          </a:r>
        </a:p>
      </xdr:txBody>
    </xdr:sp>
    <xdr:clientData/>
  </xdr:twoCellAnchor>
  <xdr:twoCellAnchor editAs="oneCell">
    <xdr:from>
      <xdr:col>3</xdr:col>
      <xdr:colOff>1093857</xdr:colOff>
      <xdr:row>0</xdr:row>
      <xdr:rowOff>-30073</xdr:rowOff>
    </xdr:from>
    <xdr:to>
      <xdr:col>4</xdr:col>
      <xdr:colOff>1058000</xdr:colOff>
      <xdr:row>3</xdr:row>
      <xdr:rowOff>5036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82BE128-DCD0-40C3-A4C3-4B095D5B4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697" b="14697"/>
        <a:stretch/>
      </xdr:blipFill>
      <xdr:spPr>
        <a:xfrm>
          <a:off x="5058071" y="-30073"/>
          <a:ext cx="1089000" cy="1078323"/>
        </a:xfrm>
        <a:prstGeom prst="flowChartConnector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</xdr:colOff>
      <xdr:row>0</xdr:row>
      <xdr:rowOff>64153</xdr:rowOff>
    </xdr:from>
    <xdr:to>
      <xdr:col>5</xdr:col>
      <xdr:colOff>1051560</xdr:colOff>
      <xdr:row>1</xdr:row>
      <xdr:rowOff>522793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47D6670-A56C-4FFB-83FA-AAE8C4C9F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7610" y="64153"/>
          <a:ext cx="990600" cy="642790"/>
        </a:xfrm>
        <a:prstGeom prst="rect">
          <a:avLst/>
        </a:prstGeom>
      </xdr:spPr>
    </xdr:pic>
    <xdr:clientData/>
  </xdr:twoCellAnchor>
  <xdr:twoCellAnchor>
    <xdr:from>
      <xdr:col>5</xdr:col>
      <xdr:colOff>160020</xdr:colOff>
      <xdr:row>1</xdr:row>
      <xdr:rowOff>464820</xdr:rowOff>
    </xdr:from>
    <xdr:to>
      <xdr:col>5</xdr:col>
      <xdr:colOff>1036320</xdr:colOff>
      <xdr:row>2</xdr:row>
      <xdr:rowOff>106680</xdr:rowOff>
    </xdr:to>
    <xdr:sp macro="" textlink="">
      <xdr:nvSpPr>
        <xdr:cNvPr id="3" name="Seta: para a Esquerd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88F4E1-E84A-419D-BD27-76BA6336AD21}"/>
            </a:ext>
          </a:extLst>
        </xdr:cNvPr>
        <xdr:cNvSpPr/>
      </xdr:nvSpPr>
      <xdr:spPr>
        <a:xfrm>
          <a:off x="6376670" y="648970"/>
          <a:ext cx="876300" cy="327660"/>
        </a:xfrm>
        <a:prstGeom prst="leftArrow">
          <a:avLst>
            <a:gd name="adj1" fmla="val 63953"/>
            <a:gd name="adj2" fmla="val 50000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Century Gothic" panose="020B0502020202020204" pitchFamily="34" charset="0"/>
            </a:rPr>
            <a:t>VOLTAR</a:t>
          </a:r>
        </a:p>
      </xdr:txBody>
    </xdr:sp>
    <xdr:clientData/>
  </xdr:twoCellAnchor>
  <xdr:twoCellAnchor editAs="oneCell">
    <xdr:from>
      <xdr:col>4</xdr:col>
      <xdr:colOff>27214</xdr:colOff>
      <xdr:row>0</xdr:row>
      <xdr:rowOff>72572</xdr:rowOff>
    </xdr:from>
    <xdr:to>
      <xdr:col>5</xdr:col>
      <xdr:colOff>18142</xdr:colOff>
      <xdr:row>4</xdr:row>
      <xdr:rowOff>125132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EFCE72B-5D2C-4AB1-844B-51AB81317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697" b="14697"/>
        <a:stretch/>
      </xdr:blipFill>
      <xdr:spPr>
        <a:xfrm>
          <a:off x="5116285" y="72572"/>
          <a:ext cx="1115786" cy="1104846"/>
        </a:xfrm>
        <a:prstGeom prst="flowChartConnector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</xdr:colOff>
      <xdr:row>0</xdr:row>
      <xdr:rowOff>64153</xdr:rowOff>
    </xdr:from>
    <xdr:to>
      <xdr:col>5</xdr:col>
      <xdr:colOff>1051560</xdr:colOff>
      <xdr:row>1</xdr:row>
      <xdr:rowOff>522793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CA2BB59-2DB3-4753-A189-F9D8F647B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7610" y="64153"/>
          <a:ext cx="990600" cy="642790"/>
        </a:xfrm>
        <a:prstGeom prst="rect">
          <a:avLst/>
        </a:prstGeom>
      </xdr:spPr>
    </xdr:pic>
    <xdr:clientData/>
  </xdr:twoCellAnchor>
  <xdr:twoCellAnchor>
    <xdr:from>
      <xdr:col>5</xdr:col>
      <xdr:colOff>160020</xdr:colOff>
      <xdr:row>1</xdr:row>
      <xdr:rowOff>464820</xdr:rowOff>
    </xdr:from>
    <xdr:to>
      <xdr:col>5</xdr:col>
      <xdr:colOff>1036320</xdr:colOff>
      <xdr:row>2</xdr:row>
      <xdr:rowOff>106680</xdr:rowOff>
    </xdr:to>
    <xdr:sp macro="" textlink="">
      <xdr:nvSpPr>
        <xdr:cNvPr id="3" name="Seta: para a Esquerd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ED0887-4491-4401-BF8F-E9DC4DDF3BBC}"/>
            </a:ext>
          </a:extLst>
        </xdr:cNvPr>
        <xdr:cNvSpPr/>
      </xdr:nvSpPr>
      <xdr:spPr>
        <a:xfrm>
          <a:off x="6376670" y="648970"/>
          <a:ext cx="876300" cy="327660"/>
        </a:xfrm>
        <a:prstGeom prst="leftArrow">
          <a:avLst>
            <a:gd name="adj1" fmla="val 63953"/>
            <a:gd name="adj2" fmla="val 50000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Century Gothic" panose="020B0502020202020204" pitchFamily="34" charset="0"/>
            </a:rPr>
            <a:t>VOLTAR</a:t>
          </a:r>
        </a:p>
      </xdr:txBody>
    </xdr:sp>
    <xdr:clientData/>
  </xdr:twoCellAnchor>
  <xdr:twoCellAnchor editAs="oneCell">
    <xdr:from>
      <xdr:col>4</xdr:col>
      <xdr:colOff>18500</xdr:colOff>
      <xdr:row>0</xdr:row>
      <xdr:rowOff>19093</xdr:rowOff>
    </xdr:from>
    <xdr:to>
      <xdr:col>4</xdr:col>
      <xdr:colOff>1008500</xdr:colOff>
      <xdr:row>2</xdr:row>
      <xdr:rowOff>128227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047B575-C746-426C-8C59-D13D8E11F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817" b="14817"/>
        <a:stretch/>
      </xdr:blipFill>
      <xdr:spPr>
        <a:xfrm>
          <a:off x="5112611" y="19093"/>
          <a:ext cx="990000" cy="976967"/>
        </a:xfrm>
        <a:prstGeom prst="flowChartConnector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</xdr:colOff>
      <xdr:row>0</xdr:row>
      <xdr:rowOff>64153</xdr:rowOff>
    </xdr:from>
    <xdr:to>
      <xdr:col>5</xdr:col>
      <xdr:colOff>1051560</xdr:colOff>
      <xdr:row>1</xdr:row>
      <xdr:rowOff>522793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2886166A-B7C6-3E71-71C3-E89E1AF3D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5560" y="64153"/>
          <a:ext cx="990600" cy="641520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</xdr:row>
      <xdr:rowOff>480060</xdr:rowOff>
    </xdr:from>
    <xdr:to>
      <xdr:col>5</xdr:col>
      <xdr:colOff>982980</xdr:colOff>
      <xdr:row>2</xdr:row>
      <xdr:rowOff>121920</xdr:rowOff>
    </xdr:to>
    <xdr:sp macro="" textlink="">
      <xdr:nvSpPr>
        <xdr:cNvPr id="3" name="Seta: para a Esquerd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4F6192-479F-4443-A304-AAE6C76D0A26}"/>
            </a:ext>
          </a:extLst>
        </xdr:cNvPr>
        <xdr:cNvSpPr/>
      </xdr:nvSpPr>
      <xdr:spPr>
        <a:xfrm>
          <a:off x="6210300" y="662940"/>
          <a:ext cx="876300" cy="327660"/>
        </a:xfrm>
        <a:prstGeom prst="leftArrow">
          <a:avLst>
            <a:gd name="adj1" fmla="val 63953"/>
            <a:gd name="adj2" fmla="val 50000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Century Gothic" panose="020B0502020202020204" pitchFamily="34" charset="0"/>
            </a:rPr>
            <a:t>VOLTAR</a:t>
          </a:r>
        </a:p>
      </xdr:txBody>
    </xdr:sp>
    <xdr:clientData/>
  </xdr:twoCellAnchor>
  <xdr:twoCellAnchor editAs="oneCell">
    <xdr:from>
      <xdr:col>3</xdr:col>
      <xdr:colOff>1110363</xdr:colOff>
      <xdr:row>0</xdr:row>
      <xdr:rowOff>51309</xdr:rowOff>
    </xdr:from>
    <xdr:to>
      <xdr:col>4</xdr:col>
      <xdr:colOff>1094274</xdr:colOff>
      <xdr:row>4</xdr:row>
      <xdr:rowOff>68717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DF3F7C1-3F94-43ED-9386-21DFFB16A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722" b="15722"/>
        <a:stretch/>
      </xdr:blipFill>
      <xdr:spPr>
        <a:xfrm>
          <a:off x="5079113" y="51309"/>
          <a:ext cx="1107861" cy="1065158"/>
        </a:xfrm>
        <a:prstGeom prst="flowChartConnector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</xdr:colOff>
      <xdr:row>0</xdr:row>
      <xdr:rowOff>64153</xdr:rowOff>
    </xdr:from>
    <xdr:to>
      <xdr:col>5</xdr:col>
      <xdr:colOff>1051560</xdr:colOff>
      <xdr:row>1</xdr:row>
      <xdr:rowOff>522793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94FCB0F-48DC-4ACF-809B-88EFB0C40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4580" y="64153"/>
          <a:ext cx="990600" cy="641520"/>
        </a:xfrm>
        <a:prstGeom prst="rect">
          <a:avLst/>
        </a:prstGeom>
      </xdr:spPr>
    </xdr:pic>
    <xdr:clientData/>
  </xdr:twoCellAnchor>
  <xdr:twoCellAnchor>
    <xdr:from>
      <xdr:col>5</xdr:col>
      <xdr:colOff>129540</xdr:colOff>
      <xdr:row>1</xdr:row>
      <xdr:rowOff>480060</xdr:rowOff>
    </xdr:from>
    <xdr:to>
      <xdr:col>5</xdr:col>
      <xdr:colOff>1005840</xdr:colOff>
      <xdr:row>2</xdr:row>
      <xdr:rowOff>121920</xdr:rowOff>
    </xdr:to>
    <xdr:sp macro="" textlink="">
      <xdr:nvSpPr>
        <xdr:cNvPr id="4" name="Seta: para a Esqu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1C472B-71B2-4647-A8A7-85F0B7A6B4A9}"/>
            </a:ext>
          </a:extLst>
        </xdr:cNvPr>
        <xdr:cNvSpPr/>
      </xdr:nvSpPr>
      <xdr:spPr>
        <a:xfrm>
          <a:off x="6233160" y="662940"/>
          <a:ext cx="876300" cy="327660"/>
        </a:xfrm>
        <a:prstGeom prst="leftArrow">
          <a:avLst>
            <a:gd name="adj1" fmla="val 63953"/>
            <a:gd name="adj2" fmla="val 50000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Century Gothic" panose="020B0502020202020204" pitchFamily="34" charset="0"/>
            </a:rPr>
            <a:t>VOLTAR</a:t>
          </a:r>
        </a:p>
      </xdr:txBody>
    </xdr:sp>
    <xdr:clientData/>
  </xdr:twoCellAnchor>
  <xdr:twoCellAnchor editAs="oneCell">
    <xdr:from>
      <xdr:col>3</xdr:col>
      <xdr:colOff>1054100</xdr:colOff>
      <xdr:row>0</xdr:row>
      <xdr:rowOff>50800</xdr:rowOff>
    </xdr:from>
    <xdr:to>
      <xdr:col>4</xdr:col>
      <xdr:colOff>849200</xdr:colOff>
      <xdr:row>2</xdr:row>
      <xdr:rowOff>80850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B0CD3F7-26CD-4E2A-B10E-20F5DFD424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1" t="3928" r="-861" b="26854"/>
        <a:stretch>
          <a:fillRect/>
        </a:stretch>
      </xdr:blipFill>
      <xdr:spPr bwMode="auto">
        <a:xfrm>
          <a:off x="5022850" y="50800"/>
          <a:ext cx="922225" cy="895238"/>
        </a:xfrm>
        <a:prstGeom prst="flowChartConnector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</xdr:colOff>
      <xdr:row>0</xdr:row>
      <xdr:rowOff>64153</xdr:rowOff>
    </xdr:from>
    <xdr:to>
      <xdr:col>5</xdr:col>
      <xdr:colOff>1051560</xdr:colOff>
      <xdr:row>1</xdr:row>
      <xdr:rowOff>522793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CCE639B-0960-402E-B477-F0AF85697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4580" y="64153"/>
          <a:ext cx="990600" cy="641520"/>
        </a:xfrm>
        <a:prstGeom prst="rect">
          <a:avLst/>
        </a:prstGeom>
      </xdr:spPr>
    </xdr:pic>
    <xdr:clientData/>
  </xdr:twoCellAnchor>
  <xdr:twoCellAnchor>
    <xdr:from>
      <xdr:col>5</xdr:col>
      <xdr:colOff>129540</xdr:colOff>
      <xdr:row>1</xdr:row>
      <xdr:rowOff>477520</xdr:rowOff>
    </xdr:from>
    <xdr:to>
      <xdr:col>5</xdr:col>
      <xdr:colOff>1005840</xdr:colOff>
      <xdr:row>2</xdr:row>
      <xdr:rowOff>119380</xdr:rowOff>
    </xdr:to>
    <xdr:sp macro="" textlink="">
      <xdr:nvSpPr>
        <xdr:cNvPr id="3" name="Seta: para a Esquerd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5F4CF7-DB66-4EB5-A2DD-A9633EF0EB94}"/>
            </a:ext>
          </a:extLst>
        </xdr:cNvPr>
        <xdr:cNvSpPr/>
      </xdr:nvSpPr>
      <xdr:spPr>
        <a:xfrm>
          <a:off x="6231890" y="661670"/>
          <a:ext cx="876300" cy="327660"/>
        </a:xfrm>
        <a:prstGeom prst="leftArrow">
          <a:avLst>
            <a:gd name="adj1" fmla="val 63953"/>
            <a:gd name="adj2" fmla="val 50000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Century Gothic" panose="020B0502020202020204" pitchFamily="34" charset="0"/>
            </a:rPr>
            <a:t>VOLTAR</a:t>
          </a:r>
        </a:p>
      </xdr:txBody>
    </xdr:sp>
    <xdr:clientData/>
  </xdr:twoCellAnchor>
  <xdr:twoCellAnchor editAs="oneCell">
    <xdr:from>
      <xdr:col>4</xdr:col>
      <xdr:colOff>69850</xdr:colOff>
      <xdr:row>0</xdr:row>
      <xdr:rowOff>63500</xdr:rowOff>
    </xdr:from>
    <xdr:to>
      <xdr:col>4</xdr:col>
      <xdr:colOff>969850</xdr:colOff>
      <xdr:row>2</xdr:row>
      <xdr:rowOff>93550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1F85190-BEFA-4E32-8BDB-F271244AC5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31" b="23665"/>
        <a:stretch>
          <a:fillRect/>
        </a:stretch>
      </xdr:blipFill>
      <xdr:spPr bwMode="auto">
        <a:xfrm>
          <a:off x="5162550" y="63500"/>
          <a:ext cx="900000" cy="900000"/>
        </a:xfrm>
        <a:prstGeom prst="flowChartConnector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</xdr:colOff>
      <xdr:row>0</xdr:row>
      <xdr:rowOff>64153</xdr:rowOff>
    </xdr:from>
    <xdr:to>
      <xdr:col>5</xdr:col>
      <xdr:colOff>1051560</xdr:colOff>
      <xdr:row>1</xdr:row>
      <xdr:rowOff>522793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BF28824-AF3A-474D-8605-29B96247B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4580" y="64153"/>
          <a:ext cx="990600" cy="641520"/>
        </a:xfrm>
        <a:prstGeom prst="rect">
          <a:avLst/>
        </a:prstGeom>
      </xdr:spPr>
    </xdr:pic>
    <xdr:clientData/>
  </xdr:twoCellAnchor>
  <xdr:twoCellAnchor editAs="oneCell">
    <xdr:from>
      <xdr:col>4</xdr:col>
      <xdr:colOff>104697</xdr:colOff>
      <xdr:row>0</xdr:row>
      <xdr:rowOff>44301</xdr:rowOff>
    </xdr:from>
    <xdr:to>
      <xdr:col>4</xdr:col>
      <xdr:colOff>1030683</xdr:colOff>
      <xdr:row>2</xdr:row>
      <xdr:rowOff>102454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C50480E-526D-41D4-9A82-417C5EA3A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48" b="14348"/>
        <a:stretch/>
      </xdr:blipFill>
      <xdr:spPr>
        <a:xfrm>
          <a:off x="5198808" y="44301"/>
          <a:ext cx="925986" cy="925986"/>
        </a:xfrm>
        <a:prstGeom prst="flowChartConnector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5</xdr:col>
      <xdr:colOff>129540</xdr:colOff>
      <xdr:row>1</xdr:row>
      <xdr:rowOff>480060</xdr:rowOff>
    </xdr:from>
    <xdr:to>
      <xdr:col>5</xdr:col>
      <xdr:colOff>1005840</xdr:colOff>
      <xdr:row>2</xdr:row>
      <xdr:rowOff>121920</xdr:rowOff>
    </xdr:to>
    <xdr:sp macro="" textlink="">
      <xdr:nvSpPr>
        <xdr:cNvPr id="5" name="Seta: para a Esquerda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A0DD992-B65B-475E-9207-CDAD7F2D6B44}"/>
            </a:ext>
          </a:extLst>
        </xdr:cNvPr>
        <xdr:cNvSpPr/>
      </xdr:nvSpPr>
      <xdr:spPr>
        <a:xfrm>
          <a:off x="6233160" y="662940"/>
          <a:ext cx="876300" cy="327660"/>
        </a:xfrm>
        <a:prstGeom prst="leftArrow">
          <a:avLst>
            <a:gd name="adj1" fmla="val 63953"/>
            <a:gd name="adj2" fmla="val 50000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Century Gothic" panose="020B0502020202020204" pitchFamily="34" charset="0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</xdr:colOff>
      <xdr:row>0</xdr:row>
      <xdr:rowOff>64153</xdr:rowOff>
    </xdr:from>
    <xdr:to>
      <xdr:col>5</xdr:col>
      <xdr:colOff>1051560</xdr:colOff>
      <xdr:row>1</xdr:row>
      <xdr:rowOff>522793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E1B0ACF-7FF6-41BB-8D5E-45F7175A4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4580" y="64153"/>
          <a:ext cx="990600" cy="641520"/>
        </a:xfrm>
        <a:prstGeom prst="rect">
          <a:avLst/>
        </a:prstGeom>
      </xdr:spPr>
    </xdr:pic>
    <xdr:clientData/>
  </xdr:twoCellAnchor>
  <xdr:twoCellAnchor>
    <xdr:from>
      <xdr:col>5</xdr:col>
      <xdr:colOff>121920</xdr:colOff>
      <xdr:row>1</xdr:row>
      <xdr:rowOff>487680</xdr:rowOff>
    </xdr:from>
    <xdr:to>
      <xdr:col>5</xdr:col>
      <xdr:colOff>998220</xdr:colOff>
      <xdr:row>2</xdr:row>
      <xdr:rowOff>129540</xdr:rowOff>
    </xdr:to>
    <xdr:sp macro="" textlink="">
      <xdr:nvSpPr>
        <xdr:cNvPr id="3" name="Seta: para a Esquerd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FF4678-D39A-496B-83D3-E080E4DEFA51}"/>
            </a:ext>
          </a:extLst>
        </xdr:cNvPr>
        <xdr:cNvSpPr/>
      </xdr:nvSpPr>
      <xdr:spPr>
        <a:xfrm>
          <a:off x="6225540" y="670560"/>
          <a:ext cx="876300" cy="327660"/>
        </a:xfrm>
        <a:prstGeom prst="leftArrow">
          <a:avLst>
            <a:gd name="adj1" fmla="val 63953"/>
            <a:gd name="adj2" fmla="val 50000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Century Gothic" panose="020B0502020202020204" pitchFamily="34" charset="0"/>
            </a:rPr>
            <a:t>VOLTAR</a:t>
          </a:r>
        </a:p>
      </xdr:txBody>
    </xdr:sp>
    <xdr:clientData/>
  </xdr:twoCellAnchor>
  <xdr:twoCellAnchor editAs="oneCell">
    <xdr:from>
      <xdr:col>4</xdr:col>
      <xdr:colOff>101600</xdr:colOff>
      <xdr:row>0</xdr:row>
      <xdr:rowOff>50800</xdr:rowOff>
    </xdr:from>
    <xdr:to>
      <xdr:col>4</xdr:col>
      <xdr:colOff>1001600</xdr:colOff>
      <xdr:row>2</xdr:row>
      <xdr:rowOff>80850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92F11CF-EB23-4F61-BB2C-C268AC81C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12" b="14312"/>
        <a:stretch/>
      </xdr:blipFill>
      <xdr:spPr bwMode="auto">
        <a:xfrm>
          <a:off x="5190671" y="50800"/>
          <a:ext cx="900000" cy="900907"/>
        </a:xfrm>
        <a:prstGeom prst="flowChartConnector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</xdr:colOff>
      <xdr:row>0</xdr:row>
      <xdr:rowOff>64153</xdr:rowOff>
    </xdr:from>
    <xdr:to>
      <xdr:col>5</xdr:col>
      <xdr:colOff>1051560</xdr:colOff>
      <xdr:row>1</xdr:row>
      <xdr:rowOff>522793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E340BF-F879-427E-9CFB-BB4DF3D5D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4580" y="64153"/>
          <a:ext cx="990600" cy="641520"/>
        </a:xfrm>
        <a:prstGeom prst="rect">
          <a:avLst/>
        </a:prstGeom>
      </xdr:spPr>
    </xdr:pic>
    <xdr:clientData/>
  </xdr:twoCellAnchor>
  <xdr:twoCellAnchor>
    <xdr:from>
      <xdr:col>5</xdr:col>
      <xdr:colOff>152400</xdr:colOff>
      <xdr:row>1</xdr:row>
      <xdr:rowOff>487680</xdr:rowOff>
    </xdr:from>
    <xdr:to>
      <xdr:col>5</xdr:col>
      <xdr:colOff>1028700</xdr:colOff>
      <xdr:row>2</xdr:row>
      <xdr:rowOff>129540</xdr:rowOff>
    </xdr:to>
    <xdr:sp macro="" textlink="">
      <xdr:nvSpPr>
        <xdr:cNvPr id="3" name="Seta: para a Esquerd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E98146-E9DD-400C-A06A-8E3BA0D729AE}"/>
            </a:ext>
          </a:extLst>
        </xdr:cNvPr>
        <xdr:cNvSpPr/>
      </xdr:nvSpPr>
      <xdr:spPr>
        <a:xfrm>
          <a:off x="6256020" y="670560"/>
          <a:ext cx="876300" cy="327660"/>
        </a:xfrm>
        <a:prstGeom prst="leftArrow">
          <a:avLst>
            <a:gd name="adj1" fmla="val 63953"/>
            <a:gd name="adj2" fmla="val 50000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Century Gothic" panose="020B0502020202020204" pitchFamily="34" charset="0"/>
            </a:rPr>
            <a:t>VOLTAR</a:t>
          </a:r>
        </a:p>
      </xdr:txBody>
    </xdr:sp>
    <xdr:clientData/>
  </xdr:twoCellAnchor>
  <xdr:twoCellAnchor editAs="oneCell">
    <xdr:from>
      <xdr:col>4</xdr:col>
      <xdr:colOff>88900</xdr:colOff>
      <xdr:row>0</xdr:row>
      <xdr:rowOff>63500</xdr:rowOff>
    </xdr:from>
    <xdr:to>
      <xdr:col>4</xdr:col>
      <xdr:colOff>988900</xdr:colOff>
      <xdr:row>2</xdr:row>
      <xdr:rowOff>93550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E6B0157-7B25-4D21-963B-662A87EDF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12" b="14312"/>
        <a:stretch/>
      </xdr:blipFill>
      <xdr:spPr bwMode="auto">
        <a:xfrm>
          <a:off x="5177971" y="63500"/>
          <a:ext cx="900000" cy="900907"/>
        </a:xfrm>
        <a:prstGeom prst="flowChartConnector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</xdr:colOff>
      <xdr:row>0</xdr:row>
      <xdr:rowOff>64153</xdr:rowOff>
    </xdr:from>
    <xdr:to>
      <xdr:col>5</xdr:col>
      <xdr:colOff>1051560</xdr:colOff>
      <xdr:row>1</xdr:row>
      <xdr:rowOff>522793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29A628F-A30D-4556-B3B1-611ACB7F8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4580" y="64153"/>
          <a:ext cx="990600" cy="641520"/>
        </a:xfrm>
        <a:prstGeom prst="rect">
          <a:avLst/>
        </a:prstGeom>
      </xdr:spPr>
    </xdr:pic>
    <xdr:clientData/>
  </xdr:twoCellAnchor>
  <xdr:twoCellAnchor>
    <xdr:from>
      <xdr:col>5</xdr:col>
      <xdr:colOff>152400</xdr:colOff>
      <xdr:row>1</xdr:row>
      <xdr:rowOff>480060</xdr:rowOff>
    </xdr:from>
    <xdr:to>
      <xdr:col>5</xdr:col>
      <xdr:colOff>1028700</xdr:colOff>
      <xdr:row>2</xdr:row>
      <xdr:rowOff>121920</xdr:rowOff>
    </xdr:to>
    <xdr:sp macro="" textlink="">
      <xdr:nvSpPr>
        <xdr:cNvPr id="5" name="Seta: para a Esquerd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D2EC46-A003-7257-269D-0001EB87D2A1}"/>
            </a:ext>
          </a:extLst>
        </xdr:cNvPr>
        <xdr:cNvSpPr/>
      </xdr:nvSpPr>
      <xdr:spPr>
        <a:xfrm>
          <a:off x="6256020" y="662940"/>
          <a:ext cx="876300" cy="327660"/>
        </a:xfrm>
        <a:prstGeom prst="leftArrow">
          <a:avLst>
            <a:gd name="adj1" fmla="val 63953"/>
            <a:gd name="adj2" fmla="val 50000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Century Gothic" panose="020B0502020202020204" pitchFamily="34" charset="0"/>
            </a:rPr>
            <a:t>VOLTAR</a:t>
          </a:r>
        </a:p>
      </xdr:txBody>
    </xdr:sp>
    <xdr:clientData/>
  </xdr:twoCellAnchor>
  <xdr:twoCellAnchor editAs="oneCell">
    <xdr:from>
      <xdr:col>4</xdr:col>
      <xdr:colOff>76950</xdr:colOff>
      <xdr:row>0</xdr:row>
      <xdr:rowOff>-24746</xdr:rowOff>
    </xdr:from>
    <xdr:to>
      <xdr:col>5</xdr:col>
      <xdr:colOff>41092</xdr:colOff>
      <xdr:row>4</xdr:row>
      <xdr:rowOff>13066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740C1A5-D94F-41C9-91F3-C330B168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12" b="14312"/>
        <a:stretch/>
      </xdr:blipFill>
      <xdr:spPr bwMode="auto">
        <a:xfrm>
          <a:off x="5166021" y="-24746"/>
          <a:ext cx="1089000" cy="1090098"/>
        </a:xfrm>
        <a:prstGeom prst="flowChartConnector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</xdr:colOff>
      <xdr:row>0</xdr:row>
      <xdr:rowOff>64153</xdr:rowOff>
    </xdr:from>
    <xdr:to>
      <xdr:col>5</xdr:col>
      <xdr:colOff>1051560</xdr:colOff>
      <xdr:row>1</xdr:row>
      <xdr:rowOff>522793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4FDF9FC-55C5-4935-8858-DC1A4EDF4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4580" y="64153"/>
          <a:ext cx="990600" cy="641520"/>
        </a:xfrm>
        <a:prstGeom prst="rect">
          <a:avLst/>
        </a:prstGeom>
      </xdr:spPr>
    </xdr:pic>
    <xdr:clientData/>
  </xdr:twoCellAnchor>
  <xdr:twoCellAnchor>
    <xdr:from>
      <xdr:col>5</xdr:col>
      <xdr:colOff>152400</xdr:colOff>
      <xdr:row>1</xdr:row>
      <xdr:rowOff>464820</xdr:rowOff>
    </xdr:from>
    <xdr:to>
      <xdr:col>5</xdr:col>
      <xdr:colOff>1028700</xdr:colOff>
      <xdr:row>2</xdr:row>
      <xdr:rowOff>106680</xdr:rowOff>
    </xdr:to>
    <xdr:sp macro="" textlink="">
      <xdr:nvSpPr>
        <xdr:cNvPr id="5" name="Seta: para a Esquerd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84EF85-47D9-4F5C-8795-88CC0CBB7EAE}"/>
            </a:ext>
          </a:extLst>
        </xdr:cNvPr>
        <xdr:cNvSpPr/>
      </xdr:nvSpPr>
      <xdr:spPr>
        <a:xfrm>
          <a:off x="6256020" y="647700"/>
          <a:ext cx="876300" cy="327660"/>
        </a:xfrm>
        <a:prstGeom prst="leftArrow">
          <a:avLst>
            <a:gd name="adj1" fmla="val 63953"/>
            <a:gd name="adj2" fmla="val 50000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Century Gothic" panose="020B0502020202020204" pitchFamily="34" charset="0"/>
            </a:rPr>
            <a:t>VOLTAR</a:t>
          </a:r>
        </a:p>
      </xdr:txBody>
    </xdr:sp>
    <xdr:clientData/>
  </xdr:twoCellAnchor>
  <xdr:twoCellAnchor editAs="oneCell">
    <xdr:from>
      <xdr:col>3</xdr:col>
      <xdr:colOff>1121697</xdr:colOff>
      <xdr:row>0</xdr:row>
      <xdr:rowOff>46918</xdr:rowOff>
    </xdr:from>
    <xdr:to>
      <xdr:col>4</xdr:col>
      <xdr:colOff>1109988</xdr:colOff>
      <xdr:row>4</xdr:row>
      <xdr:rowOff>84730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3194C121-895C-48F1-A199-3FC4E134F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086" b="15086"/>
        <a:stretch/>
      </xdr:blipFill>
      <xdr:spPr bwMode="auto">
        <a:xfrm>
          <a:off x="5085911" y="46918"/>
          <a:ext cx="1113148" cy="1090098"/>
        </a:xfrm>
        <a:prstGeom prst="flowChartConnector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5719D-9A4D-419B-BE25-B9F48E1D7A90}">
  <dimension ref="B1:C35"/>
  <sheetViews>
    <sheetView workbookViewId="0">
      <selection activeCell="C6" sqref="C6"/>
    </sheetView>
  </sheetViews>
  <sheetFormatPr defaultRowHeight="14.5" x14ac:dyDescent="0.35"/>
  <cols>
    <col min="2" max="2" width="27" bestFit="1" customWidth="1"/>
    <col min="3" max="3" width="14.1796875" customWidth="1"/>
  </cols>
  <sheetData>
    <row r="1" spans="2:3" x14ac:dyDescent="0.35">
      <c r="B1" s="1" t="s">
        <v>23</v>
      </c>
    </row>
    <row r="3" spans="2:3" x14ac:dyDescent="0.35">
      <c r="B3" t="s">
        <v>0</v>
      </c>
      <c r="C3" t="s">
        <v>22</v>
      </c>
    </row>
    <row r="4" spans="2:3" x14ac:dyDescent="0.35">
      <c r="B4" s="8" t="s">
        <v>101</v>
      </c>
      <c r="C4" s="10">
        <v>3.59</v>
      </c>
    </row>
    <row r="5" spans="2:3" x14ac:dyDescent="0.35">
      <c r="B5" s="8" t="s">
        <v>1</v>
      </c>
      <c r="C5" s="71">
        <f>2.19/1500</f>
        <v>1.4599999999999999E-3</v>
      </c>
    </row>
    <row r="6" spans="2:3" x14ac:dyDescent="0.35">
      <c r="B6" s="8" t="s">
        <v>45</v>
      </c>
      <c r="C6" s="71">
        <f>2.19/1500</f>
        <v>1.4599999999999999E-3</v>
      </c>
    </row>
    <row r="7" spans="2:3" x14ac:dyDescent="0.35">
      <c r="B7" s="8" t="s">
        <v>30</v>
      </c>
      <c r="C7" s="6">
        <v>21.79</v>
      </c>
    </row>
    <row r="8" spans="2:3" x14ac:dyDescent="0.35">
      <c r="B8" s="17" t="s">
        <v>3</v>
      </c>
      <c r="C8" s="19">
        <v>111.49</v>
      </c>
    </row>
    <row r="9" spans="2:3" x14ac:dyDescent="0.35">
      <c r="B9" s="8" t="s">
        <v>10</v>
      </c>
      <c r="C9" s="10">
        <f>45.99/0.5</f>
        <v>91.98</v>
      </c>
    </row>
    <row r="10" spans="2:3" x14ac:dyDescent="0.35">
      <c r="B10" s="70" t="s">
        <v>40</v>
      </c>
      <c r="C10" s="10">
        <f>17.99/0.5</f>
        <v>35.979999999999997</v>
      </c>
    </row>
    <row r="11" spans="2:3" x14ac:dyDescent="0.35">
      <c r="B11" s="17" t="s">
        <v>43</v>
      </c>
      <c r="C11" s="10">
        <v>42.99</v>
      </c>
    </row>
    <row r="12" spans="2:3" x14ac:dyDescent="0.35">
      <c r="B12" s="69" t="s">
        <v>48</v>
      </c>
      <c r="C12" s="10">
        <v>5.89</v>
      </c>
    </row>
    <row r="13" spans="2:3" x14ac:dyDescent="0.35">
      <c r="B13" s="8" t="s">
        <v>2</v>
      </c>
      <c r="C13" s="10">
        <f>9.7/0.5</f>
        <v>19.399999999999999</v>
      </c>
    </row>
    <row r="14" spans="2:3" x14ac:dyDescent="0.35">
      <c r="B14" s="8" t="s">
        <v>49</v>
      </c>
      <c r="C14" s="10">
        <v>10.9</v>
      </c>
    </row>
    <row r="15" spans="2:3" x14ac:dyDescent="0.35">
      <c r="B15" s="8" t="s">
        <v>39</v>
      </c>
      <c r="C15" s="10">
        <v>70.400000000000006</v>
      </c>
    </row>
    <row r="16" spans="2:3" x14ac:dyDescent="0.35">
      <c r="B16" s="8" t="s">
        <v>42</v>
      </c>
      <c r="C16" s="10">
        <f>6.99/0.25</f>
        <v>27.96</v>
      </c>
    </row>
    <row r="17" spans="2:3" x14ac:dyDescent="0.35">
      <c r="B17" s="8" t="s">
        <v>33</v>
      </c>
      <c r="C17" s="10">
        <v>29.99</v>
      </c>
    </row>
    <row r="18" spans="2:3" x14ac:dyDescent="0.35">
      <c r="B18" s="8" t="s">
        <v>38</v>
      </c>
      <c r="C18" s="10">
        <v>27.99</v>
      </c>
    </row>
    <row r="19" spans="2:3" x14ac:dyDescent="0.35">
      <c r="B19" s="8" t="s">
        <v>64</v>
      </c>
      <c r="C19" s="10">
        <v>59.5</v>
      </c>
    </row>
    <row r="20" spans="2:3" x14ac:dyDescent="0.35">
      <c r="B20" s="8" t="s">
        <v>37</v>
      </c>
      <c r="C20" s="10">
        <v>12.26</v>
      </c>
    </row>
    <row r="21" spans="2:3" x14ac:dyDescent="0.35">
      <c r="B21" s="8" t="s">
        <v>29</v>
      </c>
      <c r="C21" s="10">
        <v>9.2799999999999994</v>
      </c>
    </row>
    <row r="22" spans="2:3" x14ac:dyDescent="0.35">
      <c r="B22" s="8" t="s">
        <v>28</v>
      </c>
      <c r="C22" s="10">
        <v>13.77</v>
      </c>
    </row>
    <row r="23" spans="2:3" x14ac:dyDescent="0.35">
      <c r="B23" s="17" t="s">
        <v>47</v>
      </c>
      <c r="C23" s="10">
        <v>30</v>
      </c>
    </row>
    <row r="24" spans="2:3" x14ac:dyDescent="0.35">
      <c r="B24" s="17" t="s">
        <v>50</v>
      </c>
      <c r="C24" s="10">
        <v>59</v>
      </c>
    </row>
    <row r="25" spans="2:3" x14ac:dyDescent="0.35">
      <c r="B25" s="17" t="s">
        <v>51</v>
      </c>
      <c r="C25" s="10">
        <f>13.15/0.6</f>
        <v>21.916666666666668</v>
      </c>
    </row>
    <row r="26" spans="2:3" x14ac:dyDescent="0.35">
      <c r="B26" s="17" t="s">
        <v>52</v>
      </c>
      <c r="C26" s="10">
        <f>6.49/0.6</f>
        <v>10.816666666666668</v>
      </c>
    </row>
    <row r="27" spans="2:3" x14ac:dyDescent="0.35">
      <c r="B27" s="17" t="s">
        <v>53</v>
      </c>
      <c r="C27" s="10">
        <v>13.9</v>
      </c>
    </row>
    <row r="28" spans="2:3" x14ac:dyDescent="0.35">
      <c r="B28" s="17" t="s">
        <v>54</v>
      </c>
      <c r="C28" s="10">
        <v>5.95</v>
      </c>
    </row>
    <row r="29" spans="2:3" x14ac:dyDescent="0.35">
      <c r="B29" s="8" t="s">
        <v>56</v>
      </c>
      <c r="C29" s="74">
        <v>13.04</v>
      </c>
    </row>
    <row r="30" spans="2:3" x14ac:dyDescent="0.35">
      <c r="B30" s="8" t="s">
        <v>57</v>
      </c>
      <c r="C30" s="74">
        <f>12.29/0.4</f>
        <v>30.724999999999998</v>
      </c>
    </row>
    <row r="31" spans="2:3" x14ac:dyDescent="0.35">
      <c r="B31" s="8" t="s">
        <v>58</v>
      </c>
      <c r="C31" s="74">
        <v>7</v>
      </c>
    </row>
    <row r="32" spans="2:3" x14ac:dyDescent="0.35">
      <c r="B32" s="8" t="s">
        <v>65</v>
      </c>
      <c r="C32" s="74">
        <f>1.29/0.012</f>
        <v>107.5</v>
      </c>
    </row>
    <row r="33" spans="2:3" x14ac:dyDescent="0.35">
      <c r="B33" s="8" t="s">
        <v>59</v>
      </c>
      <c r="C33" s="74">
        <f>13.99/0.15</f>
        <v>93.266666666666666</v>
      </c>
    </row>
    <row r="34" spans="2:3" x14ac:dyDescent="0.35">
      <c r="B34" s="17" t="s">
        <v>60</v>
      </c>
      <c r="C34" s="74">
        <f>2.99/0.012</f>
        <v>249.16666666666669</v>
      </c>
    </row>
    <row r="35" spans="2:3" x14ac:dyDescent="0.35">
      <c r="B35" s="17" t="s">
        <v>66</v>
      </c>
      <c r="C35" s="74">
        <v>5.19</v>
      </c>
    </row>
  </sheetData>
  <sortState xmlns:xlrd2="http://schemas.microsoft.com/office/spreadsheetml/2017/richdata2" ref="B4:C23">
    <sortCondition ref="B4:B23"/>
  </sortState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9F3D1-3588-4659-8A10-E36A4C55BA94}">
  <sheetPr>
    <tabColor rgb="FF541C00"/>
    <pageSetUpPr fitToPage="1"/>
  </sheetPr>
  <dimension ref="A1:I141"/>
  <sheetViews>
    <sheetView showGridLines="0" topLeftCell="A59" zoomScale="70" zoomScaleNormal="70" workbookViewId="0">
      <selection activeCell="A65" sqref="A65:XFD66"/>
    </sheetView>
  </sheetViews>
  <sheetFormatPr defaultColWidth="0" defaultRowHeight="13.5" x14ac:dyDescent="0.25"/>
  <cols>
    <col min="1" max="1" width="2.08984375" style="2" customWidth="1"/>
    <col min="2" max="2" width="1.81640625" style="2" customWidth="1"/>
    <col min="3" max="3" width="52.90625" style="2" customWidth="1"/>
    <col min="4" max="6" width="16.08984375" style="2" customWidth="1"/>
    <col min="7" max="7" width="2.08984375" style="2" customWidth="1"/>
    <col min="8" max="8" width="8.90625" style="2" customWidth="1"/>
    <col min="9" max="9" width="0" style="2" hidden="1" customWidth="1"/>
    <col min="10" max="16384" width="8.90625" style="2" hidden="1"/>
  </cols>
  <sheetData>
    <row r="1" spans="1:7" ht="14.5" x14ac:dyDescent="0.35">
      <c r="A1" s="39"/>
      <c r="B1" s="25"/>
      <c r="C1" s="40"/>
      <c r="D1" s="25"/>
      <c r="E1" s="25"/>
      <c r="F1" s="25"/>
      <c r="G1" s="41"/>
    </row>
    <row r="2" spans="1:7" ht="54" customHeight="1" x14ac:dyDescent="0.35">
      <c r="A2" s="28"/>
      <c r="C2" s="130" t="s">
        <v>76</v>
      </c>
      <c r="D2" s="130"/>
      <c r="E2"/>
      <c r="G2" s="43"/>
    </row>
    <row r="3" spans="1:7" x14ac:dyDescent="0.25">
      <c r="A3" s="28"/>
      <c r="G3" s="43"/>
    </row>
    <row r="4" spans="1:7" ht="0.65" customHeight="1" x14ac:dyDescent="0.25">
      <c r="A4" s="28"/>
      <c r="G4" s="43"/>
    </row>
    <row r="5" spans="1:7" x14ac:dyDescent="0.25">
      <c r="A5" s="28"/>
      <c r="G5" s="43"/>
    </row>
    <row r="6" spans="1:7" ht="14.4" customHeight="1" x14ac:dyDescent="0.3">
      <c r="A6" s="28"/>
      <c r="B6" s="44" t="s">
        <v>117</v>
      </c>
      <c r="C6" s="44"/>
      <c r="D6" s="44"/>
      <c r="E6" s="44"/>
      <c r="F6" s="44"/>
      <c r="G6" s="43"/>
    </row>
    <row r="7" spans="1:7" ht="14" x14ac:dyDescent="0.3">
      <c r="A7" s="28"/>
      <c r="C7" s="44"/>
      <c r="D7" s="45" t="s">
        <v>5</v>
      </c>
      <c r="E7" s="3" t="s">
        <v>6</v>
      </c>
      <c r="F7" s="45" t="s">
        <v>7</v>
      </c>
      <c r="G7" s="43"/>
    </row>
    <row r="8" spans="1:7" ht="14" x14ac:dyDescent="0.3">
      <c r="A8" s="28"/>
      <c r="C8" s="4" t="s">
        <v>118</v>
      </c>
      <c r="D8" s="5">
        <v>1000</v>
      </c>
      <c r="E8" s="19">
        <v>20.79</v>
      </c>
      <c r="F8" s="7">
        <f>E8*(D8/1000)</f>
        <v>20.79</v>
      </c>
      <c r="G8" s="43"/>
    </row>
    <row r="9" spans="1:7" x14ac:dyDescent="0.25">
      <c r="A9" s="28"/>
      <c r="C9" s="85" t="s">
        <v>28</v>
      </c>
      <c r="D9" s="9">
        <v>300</v>
      </c>
      <c r="E9" s="19">
        <f>IFERROR(VLOOKUP(C9,BDD_INGREDIENTES!$B:$C,2,FALSE),0)</f>
        <v>13.77</v>
      </c>
      <c r="F9" s="11">
        <f t="shared" ref="F9:F14" si="0">E9*(D9/1000)</f>
        <v>4.1309999999999993</v>
      </c>
      <c r="G9" s="43"/>
    </row>
    <row r="10" spans="1:7" x14ac:dyDescent="0.25">
      <c r="A10" s="28"/>
      <c r="C10" s="85" t="s">
        <v>44</v>
      </c>
      <c r="D10" s="9">
        <v>150</v>
      </c>
      <c r="E10" s="19">
        <f>IFERROR(VLOOKUP(C10,BDD_INGREDIENTES!$B:$C,2,FALSE),0)</f>
        <v>1.4599999999999999E-3</v>
      </c>
      <c r="F10" s="11">
        <f t="shared" si="0"/>
        <v>2.1899999999999998E-4</v>
      </c>
      <c r="G10" s="43"/>
    </row>
    <row r="11" spans="1:7" x14ac:dyDescent="0.25">
      <c r="A11" s="28"/>
      <c r="C11" s="8" t="s">
        <v>2</v>
      </c>
      <c r="D11" s="9">
        <v>250</v>
      </c>
      <c r="E11" s="19">
        <f>8.5*2</f>
        <v>17</v>
      </c>
      <c r="F11" s="11">
        <f t="shared" si="0"/>
        <v>4.25</v>
      </c>
      <c r="G11" s="43"/>
    </row>
    <row r="12" spans="1:7" x14ac:dyDescent="0.25">
      <c r="A12" s="28"/>
      <c r="C12" s="8"/>
      <c r="D12" s="9"/>
      <c r="E12" s="19">
        <f>IFERROR(VLOOKUP(C12,BDD_INGREDIENTES!$B:$C,2,FALSE),0)</f>
        <v>0</v>
      </c>
      <c r="F12" s="11">
        <f t="shared" si="0"/>
        <v>0</v>
      </c>
      <c r="G12" s="43"/>
    </row>
    <row r="13" spans="1:7" x14ac:dyDescent="0.25">
      <c r="A13" s="28"/>
      <c r="C13" s="8"/>
      <c r="D13" s="9"/>
      <c r="E13" s="19">
        <f>IFERROR(VLOOKUP(C13,BDD_INGREDIENTES!$B:$C,2,FALSE),0)</f>
        <v>0</v>
      </c>
      <c r="F13" s="11">
        <f t="shared" si="0"/>
        <v>0</v>
      </c>
      <c r="G13" s="43"/>
    </row>
    <row r="14" spans="1:7" x14ac:dyDescent="0.25">
      <c r="A14" s="28"/>
      <c r="C14" s="17"/>
      <c r="D14" s="18"/>
      <c r="E14" s="19">
        <f>IFERROR(VLOOKUP(C14,BDD_INGREDIENTES!$B:$C,2,FALSE),0)</f>
        <v>0</v>
      </c>
      <c r="F14" s="11">
        <f t="shared" si="0"/>
        <v>0</v>
      </c>
      <c r="G14" s="43"/>
    </row>
    <row r="15" spans="1:7" ht="15" x14ac:dyDescent="0.3">
      <c r="A15" s="28"/>
      <c r="C15" s="12" t="s">
        <v>8</v>
      </c>
      <c r="D15" s="13">
        <f>SUM(D8:D14)</f>
        <v>1700</v>
      </c>
      <c r="E15" s="14"/>
      <c r="F15" s="15">
        <f>SUM(F8:F14)</f>
        <v>29.171219000000001</v>
      </c>
      <c r="G15" s="43"/>
    </row>
    <row r="16" spans="1:7" x14ac:dyDescent="0.25">
      <c r="A16" s="28"/>
      <c r="E16" s="46"/>
      <c r="F16" s="47"/>
      <c r="G16" s="43"/>
    </row>
    <row r="17" spans="1:7" x14ac:dyDescent="0.25">
      <c r="A17" s="28"/>
      <c r="E17" s="46"/>
      <c r="F17" s="47"/>
      <c r="G17" s="43"/>
    </row>
    <row r="18" spans="1:7" ht="14.4" customHeight="1" x14ac:dyDescent="0.3">
      <c r="A18" s="28"/>
      <c r="B18" s="44" t="s">
        <v>9</v>
      </c>
      <c r="C18" s="44"/>
      <c r="D18" s="44"/>
      <c r="E18" s="48"/>
      <c r="F18" s="49"/>
      <c r="G18" s="43"/>
    </row>
    <row r="19" spans="1:7" ht="14" x14ac:dyDescent="0.3">
      <c r="A19" s="28"/>
      <c r="C19" s="44"/>
      <c r="D19" s="45" t="s">
        <v>5</v>
      </c>
      <c r="E19" s="16" t="s">
        <v>6</v>
      </c>
      <c r="F19" s="49" t="s">
        <v>7</v>
      </c>
      <c r="G19" s="43"/>
    </row>
    <row r="20" spans="1:7" ht="14" x14ac:dyDescent="0.3">
      <c r="A20" s="28"/>
      <c r="C20" s="67" t="s">
        <v>119</v>
      </c>
      <c r="D20" s="9"/>
      <c r="E20" s="19"/>
      <c r="F20" s="11"/>
      <c r="G20" s="43"/>
    </row>
    <row r="21" spans="1:7" ht="14" x14ac:dyDescent="0.3">
      <c r="A21" s="28"/>
      <c r="C21" s="23" t="s">
        <v>46</v>
      </c>
      <c r="D21" s="9">
        <v>200</v>
      </c>
      <c r="E21" s="19">
        <v>18.87</v>
      </c>
      <c r="F21" s="11">
        <f t="shared" ref="F21:F28" si="1">E21*(D21/1000)</f>
        <v>3.7740000000000005</v>
      </c>
      <c r="G21" s="43"/>
    </row>
    <row r="22" spans="1:7" x14ac:dyDescent="0.25">
      <c r="A22" s="28"/>
      <c r="C22" s="8" t="s">
        <v>120</v>
      </c>
      <c r="D22" s="9">
        <v>500</v>
      </c>
      <c r="E22" s="19">
        <v>3.89</v>
      </c>
      <c r="F22" s="11">
        <f t="shared" si="1"/>
        <v>1.9450000000000001</v>
      </c>
      <c r="G22" s="43"/>
    </row>
    <row r="23" spans="1:7" ht="14" x14ac:dyDescent="0.3">
      <c r="A23" s="28"/>
      <c r="C23" s="23" t="s">
        <v>90</v>
      </c>
      <c r="D23" s="9">
        <v>300</v>
      </c>
      <c r="E23" s="19">
        <v>71.760000000000005</v>
      </c>
      <c r="F23" s="11">
        <f t="shared" si="1"/>
        <v>21.528000000000002</v>
      </c>
      <c r="G23" s="43"/>
    </row>
    <row r="24" spans="1:7" x14ac:dyDescent="0.25">
      <c r="A24" s="28"/>
      <c r="C24" s="8"/>
      <c r="D24" s="9"/>
      <c r="E24" s="19">
        <f>IFERROR(VLOOKUP(C24,BDD_INGREDIENTES!$B:$C,2,FALSE),0)</f>
        <v>0</v>
      </c>
      <c r="F24" s="11">
        <f t="shared" si="1"/>
        <v>0</v>
      </c>
      <c r="G24" s="43"/>
    </row>
    <row r="25" spans="1:7" ht="14" x14ac:dyDescent="0.3">
      <c r="A25" s="28"/>
      <c r="C25" s="67" t="s">
        <v>121</v>
      </c>
      <c r="D25" s="9"/>
      <c r="E25" s="19"/>
      <c r="F25" s="11"/>
      <c r="G25" s="43"/>
    </row>
    <row r="26" spans="1:7" ht="14" x14ac:dyDescent="0.3">
      <c r="A26" s="28"/>
      <c r="C26" s="23" t="s">
        <v>123</v>
      </c>
      <c r="D26" s="9">
        <v>500</v>
      </c>
      <c r="E26" s="19">
        <v>30.76</v>
      </c>
      <c r="F26" s="11">
        <f t="shared" si="1"/>
        <v>15.38</v>
      </c>
      <c r="G26" s="43"/>
    </row>
    <row r="27" spans="1:7" x14ac:dyDescent="0.25">
      <c r="A27" s="28"/>
      <c r="C27" s="17"/>
      <c r="D27" s="18"/>
      <c r="E27" s="19">
        <f>IFERROR(VLOOKUP(C27,BDD_INGREDIENTES!$B:$C,2,FALSE),0)</f>
        <v>0</v>
      </c>
      <c r="F27" s="11">
        <f t="shared" si="1"/>
        <v>0</v>
      </c>
      <c r="G27" s="43"/>
    </row>
    <row r="28" spans="1:7" x14ac:dyDescent="0.25">
      <c r="A28" s="28"/>
      <c r="C28" s="17"/>
      <c r="D28" s="18"/>
      <c r="E28" s="19">
        <f>IFERROR(VLOOKUP(C28,BDD_INGREDIENTES!$B:$C,2,FALSE),0)</f>
        <v>0</v>
      </c>
      <c r="F28" s="11">
        <f t="shared" si="1"/>
        <v>0</v>
      </c>
      <c r="G28" s="43"/>
    </row>
    <row r="29" spans="1:7" ht="15" x14ac:dyDescent="0.3">
      <c r="A29" s="28"/>
      <c r="C29" s="12" t="s">
        <v>11</v>
      </c>
      <c r="D29" s="13">
        <f>SUM(D20:D28)</f>
        <v>1500</v>
      </c>
      <c r="E29" s="14"/>
      <c r="F29" s="15">
        <f>SUM(F20:F28)</f>
        <v>42.627000000000002</v>
      </c>
      <c r="G29" s="43"/>
    </row>
    <row r="30" spans="1:7" x14ac:dyDescent="0.25">
      <c r="A30" s="28"/>
      <c r="E30" s="46"/>
      <c r="F30" s="47"/>
      <c r="G30" s="43"/>
    </row>
    <row r="31" spans="1:7" x14ac:dyDescent="0.25">
      <c r="A31" s="28"/>
      <c r="E31" s="46"/>
      <c r="F31" s="47"/>
      <c r="G31" s="43"/>
    </row>
    <row r="32" spans="1:7" ht="14" x14ac:dyDescent="0.3">
      <c r="A32" s="28"/>
      <c r="B32" s="44" t="s">
        <v>12</v>
      </c>
      <c r="C32" s="44"/>
      <c r="D32" s="44"/>
      <c r="E32" s="48"/>
      <c r="F32" s="49"/>
      <c r="G32" s="43"/>
    </row>
    <row r="33" spans="1:7" ht="14" x14ac:dyDescent="0.3">
      <c r="A33" s="28"/>
      <c r="C33" s="22"/>
      <c r="D33" s="3" t="s">
        <v>5</v>
      </c>
      <c r="E33" s="16" t="s">
        <v>6</v>
      </c>
      <c r="F33" s="16" t="s">
        <v>7</v>
      </c>
      <c r="G33" s="43"/>
    </row>
    <row r="34" spans="1:7" x14ac:dyDescent="0.25">
      <c r="A34" s="28"/>
      <c r="C34" s="85" t="s">
        <v>122</v>
      </c>
      <c r="D34" s="9">
        <v>30</v>
      </c>
      <c r="E34" s="19">
        <f>48.99*2</f>
        <v>97.98</v>
      </c>
      <c r="F34" s="11">
        <f t="shared" ref="F34:F39" si="2">E34*(D34/1000)</f>
        <v>2.9394</v>
      </c>
      <c r="G34" s="43"/>
    </row>
    <row r="35" spans="1:7" x14ac:dyDescent="0.25">
      <c r="A35" s="28"/>
      <c r="C35" s="8"/>
      <c r="D35" s="9"/>
      <c r="E35" s="19">
        <f>IFERROR(VLOOKUP(C35,BDD_INGREDIENTES!$B:$C,2,FALSE),0)</f>
        <v>0</v>
      </c>
      <c r="F35" s="11">
        <f t="shared" si="2"/>
        <v>0</v>
      </c>
      <c r="G35" s="43"/>
    </row>
    <row r="36" spans="1:7" x14ac:dyDescent="0.25">
      <c r="A36" s="28"/>
      <c r="C36" s="8"/>
      <c r="D36" s="9"/>
      <c r="E36" s="19">
        <f>IFERROR(VLOOKUP(C36,BDD_INGREDIENTES!$B:$C,2,FALSE),0)</f>
        <v>0</v>
      </c>
      <c r="F36" s="11">
        <f t="shared" si="2"/>
        <v>0</v>
      </c>
      <c r="G36" s="43"/>
    </row>
    <row r="37" spans="1:7" x14ac:dyDescent="0.25">
      <c r="A37" s="28"/>
      <c r="C37" s="17"/>
      <c r="D37" s="18"/>
      <c r="E37" s="19">
        <f>IFERROR(VLOOKUP(C37,BDD_INGREDIENTES!$B:$C,2,FALSE),0)</f>
        <v>0</v>
      </c>
      <c r="F37" s="11">
        <f t="shared" si="2"/>
        <v>0</v>
      </c>
      <c r="G37" s="43"/>
    </row>
    <row r="38" spans="1:7" x14ac:dyDescent="0.25">
      <c r="A38" s="28"/>
      <c r="C38" s="17"/>
      <c r="D38" s="18"/>
      <c r="E38" s="19">
        <f>IFERROR(VLOOKUP(C38,BDD_INGREDIENTES!$B:$C,2,FALSE),0)</f>
        <v>0</v>
      </c>
      <c r="F38" s="11">
        <f t="shared" si="2"/>
        <v>0</v>
      </c>
      <c r="G38" s="43"/>
    </row>
    <row r="39" spans="1:7" ht="14" x14ac:dyDescent="0.3">
      <c r="A39" s="28"/>
      <c r="C39" s="21"/>
      <c r="D39" s="18"/>
      <c r="E39" s="19"/>
      <c r="F39" s="11">
        <f t="shared" si="2"/>
        <v>0</v>
      </c>
      <c r="G39" s="43"/>
    </row>
    <row r="40" spans="1:7" ht="15" x14ac:dyDescent="0.3">
      <c r="A40" s="28"/>
      <c r="C40" s="12" t="s">
        <v>13</v>
      </c>
      <c r="D40" s="13">
        <f>SUM(D34:D39)</f>
        <v>30</v>
      </c>
      <c r="E40" s="14"/>
      <c r="F40" s="15">
        <f>SUM(F34:F39)</f>
        <v>2.9394</v>
      </c>
      <c r="G40" s="43"/>
    </row>
    <row r="41" spans="1:7" ht="14" thickBot="1" x14ac:dyDescent="0.3">
      <c r="A41" s="28"/>
      <c r="G41" s="43"/>
    </row>
    <row r="42" spans="1:7" ht="17.5" x14ac:dyDescent="0.35">
      <c r="A42" s="28"/>
      <c r="B42" s="24" t="s">
        <v>18</v>
      </c>
      <c r="C42" s="25"/>
      <c r="D42" s="25"/>
      <c r="E42" s="26" t="s">
        <v>5</v>
      </c>
      <c r="F42" s="27" t="s">
        <v>14</v>
      </c>
      <c r="G42" s="43"/>
    </row>
    <row r="43" spans="1:7" x14ac:dyDescent="0.25">
      <c r="A43" s="28"/>
      <c r="B43" s="28" t="s">
        <v>24</v>
      </c>
      <c r="E43" s="50">
        <f>D15+D29+D40</f>
        <v>3230</v>
      </c>
      <c r="F43" s="29">
        <f>F40+F29+F15</f>
        <v>74.737618999999995</v>
      </c>
      <c r="G43" s="43"/>
    </row>
    <row r="44" spans="1:7" ht="14" x14ac:dyDescent="0.3">
      <c r="A44" s="28"/>
      <c r="B44" s="28" t="s">
        <v>36</v>
      </c>
      <c r="D44" s="51">
        <v>0</v>
      </c>
      <c r="E44" s="50">
        <f>+E43*(1-D44)</f>
        <v>3230</v>
      </c>
      <c r="F44" s="29">
        <f>F43</f>
        <v>74.737618999999995</v>
      </c>
      <c r="G44" s="43"/>
    </row>
    <row r="45" spans="1:7" ht="17.5" x14ac:dyDescent="0.35">
      <c r="A45" s="28"/>
      <c r="B45" s="30" t="s">
        <v>15</v>
      </c>
      <c r="E45" s="144">
        <v>80</v>
      </c>
      <c r="F45" s="145"/>
      <c r="G45" s="43"/>
    </row>
    <row r="46" spans="1:7" ht="17.5" x14ac:dyDescent="0.35">
      <c r="A46" s="28"/>
      <c r="B46" s="30" t="s">
        <v>19</v>
      </c>
      <c r="C46" s="52"/>
      <c r="E46" s="139">
        <f>ROUNDDOWN(E44/E45,0)</f>
        <v>40</v>
      </c>
      <c r="F46" s="140"/>
      <c r="G46" s="43"/>
    </row>
    <row r="47" spans="1:7" ht="17.5" x14ac:dyDescent="0.35">
      <c r="A47" s="28"/>
      <c r="B47" s="31" t="s">
        <v>20</v>
      </c>
      <c r="C47" s="53"/>
      <c r="D47" s="52"/>
      <c r="E47" s="137">
        <f>F44/E46</f>
        <v>1.8684404749999999</v>
      </c>
      <c r="F47" s="138"/>
      <c r="G47" s="43"/>
    </row>
    <row r="48" spans="1:7" x14ac:dyDescent="0.25">
      <c r="A48" s="28"/>
      <c r="B48" s="32" t="s">
        <v>21</v>
      </c>
      <c r="C48" s="54"/>
      <c r="D48" s="55"/>
      <c r="E48" s="135">
        <f>E47/(E45/1000)</f>
        <v>23.355505937499998</v>
      </c>
      <c r="F48" s="136"/>
      <c r="G48" s="43"/>
    </row>
    <row r="49" spans="1:9" ht="17.5" x14ac:dyDescent="0.35">
      <c r="A49" s="28"/>
      <c r="B49" s="33" t="s">
        <v>16</v>
      </c>
      <c r="C49" s="56"/>
      <c r="E49" s="133">
        <v>1</v>
      </c>
      <c r="F49" s="134"/>
      <c r="G49" s="43"/>
    </row>
    <row r="50" spans="1:9" ht="18" thickBot="1" x14ac:dyDescent="0.4">
      <c r="A50" s="28"/>
      <c r="B50" s="34" t="s">
        <v>17</v>
      </c>
      <c r="C50" s="35"/>
      <c r="D50" s="36"/>
      <c r="E50" s="131">
        <f>(E47*(1+E49))</f>
        <v>3.7368809499999998</v>
      </c>
      <c r="F50" s="132"/>
      <c r="G50" s="43"/>
    </row>
    <row r="51" spans="1:9" x14ac:dyDescent="0.25">
      <c r="A51" s="28"/>
      <c r="G51" s="43"/>
    </row>
    <row r="52" spans="1:9" x14ac:dyDescent="0.25">
      <c r="A52" s="28"/>
      <c r="G52" s="43"/>
    </row>
    <row r="53" spans="1:9" ht="19.5" x14ac:dyDescent="0.35">
      <c r="A53" s="28"/>
      <c r="B53" s="57" t="s">
        <v>25</v>
      </c>
      <c r="C53" s="58"/>
      <c r="D53" s="58"/>
      <c r="E53" s="58"/>
      <c r="F53" s="58"/>
      <c r="G53" s="43"/>
    </row>
    <row r="54" spans="1:9" x14ac:dyDescent="0.25">
      <c r="A54" s="28"/>
      <c r="G54" s="43"/>
    </row>
    <row r="55" spans="1:9" ht="16" x14ac:dyDescent="0.25">
      <c r="A55" s="28"/>
      <c r="B55" s="59" t="s">
        <v>180</v>
      </c>
      <c r="C55" s="37"/>
      <c r="D55" s="37"/>
      <c r="E55" s="37"/>
      <c r="F55" s="37"/>
      <c r="G55" s="60"/>
      <c r="H55" s="37"/>
    </row>
    <row r="56" spans="1:9" ht="78.650000000000006" customHeight="1" x14ac:dyDescent="0.25">
      <c r="A56" s="28"/>
      <c r="B56" s="129" t="s">
        <v>181</v>
      </c>
      <c r="C56" s="129"/>
      <c r="D56" s="129"/>
      <c r="E56" s="129"/>
      <c r="F56" s="129"/>
      <c r="G56" s="61"/>
      <c r="H56" s="38"/>
    </row>
    <row r="57" spans="1:9" x14ac:dyDescent="0.25">
      <c r="A57" s="28"/>
      <c r="G57" s="43"/>
    </row>
    <row r="58" spans="1:9" ht="16" x14ac:dyDescent="0.25">
      <c r="A58" s="28"/>
      <c r="B58" s="59" t="s">
        <v>27</v>
      </c>
      <c r="C58" s="37"/>
      <c r="D58" s="37"/>
      <c r="E58" s="37"/>
      <c r="F58" s="37"/>
      <c r="G58" s="60"/>
      <c r="H58" s="37"/>
      <c r="I58" s="37"/>
    </row>
    <row r="59" spans="1:9" ht="78.650000000000006" customHeight="1" x14ac:dyDescent="0.25">
      <c r="A59" s="28"/>
      <c r="B59" s="129" t="s">
        <v>182</v>
      </c>
      <c r="C59" s="129"/>
      <c r="D59" s="129"/>
      <c r="E59" s="129"/>
      <c r="F59" s="129"/>
      <c r="G59" s="65"/>
      <c r="H59" s="66"/>
      <c r="I59" s="66"/>
    </row>
    <row r="60" spans="1:9" x14ac:dyDescent="0.25">
      <c r="A60" s="28"/>
      <c r="G60" s="43"/>
    </row>
    <row r="61" spans="1:9" ht="16" x14ac:dyDescent="0.25">
      <c r="A61" s="28"/>
      <c r="B61" s="59" t="s">
        <v>184</v>
      </c>
      <c r="C61" s="37"/>
      <c r="D61" s="37"/>
      <c r="E61" s="37"/>
      <c r="F61" s="37"/>
      <c r="G61" s="60"/>
      <c r="H61" s="37"/>
      <c r="I61" s="37"/>
    </row>
    <row r="62" spans="1:9" ht="78.650000000000006" customHeight="1" x14ac:dyDescent="0.25">
      <c r="A62" s="28"/>
      <c r="B62" s="129" t="s">
        <v>183</v>
      </c>
      <c r="C62" s="129"/>
      <c r="D62" s="129"/>
      <c r="E62" s="129"/>
      <c r="F62" s="129"/>
      <c r="G62" s="65"/>
      <c r="H62" s="66"/>
      <c r="I62" s="66"/>
    </row>
    <row r="63" spans="1:9" ht="14" thickBot="1" x14ac:dyDescent="0.3">
      <c r="A63" s="62"/>
      <c r="B63" s="63"/>
      <c r="C63" s="63"/>
      <c r="D63" s="63"/>
      <c r="E63" s="63"/>
      <c r="F63" s="63"/>
      <c r="G63" s="64"/>
    </row>
    <row r="65" spans="2:2" ht="14.5" x14ac:dyDescent="0.35">
      <c r="B65"/>
    </row>
    <row r="132" spans="2:6" ht="14.5" x14ac:dyDescent="0.35">
      <c r="B132"/>
      <c r="C132"/>
      <c r="D132"/>
      <c r="E132"/>
      <c r="F132"/>
    </row>
    <row r="133" spans="2:6" ht="14.5" x14ac:dyDescent="0.35">
      <c r="B133"/>
      <c r="C133"/>
      <c r="D133"/>
      <c r="E133"/>
      <c r="F133"/>
    </row>
    <row r="134" spans="2:6" ht="14.5" x14ac:dyDescent="0.35">
      <c r="B134"/>
      <c r="C134"/>
      <c r="D134"/>
      <c r="E134"/>
      <c r="F134"/>
    </row>
    <row r="135" spans="2:6" ht="14.5" x14ac:dyDescent="0.35">
      <c r="B135"/>
      <c r="C135"/>
      <c r="D135"/>
      <c r="E135"/>
      <c r="F135"/>
    </row>
    <row r="136" spans="2:6" ht="14.5" x14ac:dyDescent="0.35">
      <c r="B136"/>
      <c r="C136"/>
      <c r="D136"/>
      <c r="E136"/>
      <c r="F136"/>
    </row>
    <row r="137" spans="2:6" ht="14.5" x14ac:dyDescent="0.35">
      <c r="B137"/>
      <c r="C137"/>
      <c r="D137"/>
      <c r="E137"/>
      <c r="F137"/>
    </row>
    <row r="138" spans="2:6" ht="14.5" x14ac:dyDescent="0.35">
      <c r="B138"/>
      <c r="C138"/>
      <c r="D138"/>
      <c r="E138"/>
      <c r="F138"/>
    </row>
    <row r="139" spans="2:6" ht="14.5" x14ac:dyDescent="0.35">
      <c r="B139"/>
      <c r="C139"/>
      <c r="D139"/>
      <c r="E139"/>
      <c r="F139"/>
    </row>
    <row r="140" spans="2:6" ht="14.5" x14ac:dyDescent="0.35">
      <c r="B140"/>
      <c r="C140"/>
      <c r="D140"/>
      <c r="E140"/>
      <c r="F140"/>
    </row>
    <row r="141" spans="2:6" ht="14.5" x14ac:dyDescent="0.35">
      <c r="B141"/>
      <c r="C141"/>
      <c r="D141"/>
      <c r="E141"/>
      <c r="F141"/>
    </row>
  </sheetData>
  <mergeCells count="10">
    <mergeCell ref="E49:F49"/>
    <mergeCell ref="E50:F50"/>
    <mergeCell ref="B56:F56"/>
    <mergeCell ref="B59:F59"/>
    <mergeCell ref="B62:F62"/>
    <mergeCell ref="C2:D2"/>
    <mergeCell ref="E45:F45"/>
    <mergeCell ref="E46:F46"/>
    <mergeCell ref="E47:F47"/>
    <mergeCell ref="E48:F48"/>
  </mergeCells>
  <pageMargins left="0.25" right="0.25" top="0.75" bottom="0.75" header="0.3" footer="0.3"/>
  <pageSetup paperSize="9" scale="60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C4A51-AD20-495A-9218-558B367F8D39}">
  <sheetPr>
    <tabColor rgb="FF541C00"/>
    <pageSetUpPr fitToPage="1"/>
  </sheetPr>
  <dimension ref="A1:I148"/>
  <sheetViews>
    <sheetView showGridLines="0" topLeftCell="A18" zoomScale="70" zoomScaleNormal="70" workbookViewId="0">
      <selection activeCell="E28" sqref="E28"/>
    </sheetView>
  </sheetViews>
  <sheetFormatPr defaultColWidth="0" defaultRowHeight="13.5" x14ac:dyDescent="0.25"/>
  <cols>
    <col min="1" max="1" width="2.08984375" style="2" customWidth="1"/>
    <col min="2" max="2" width="1.81640625" style="2" customWidth="1"/>
    <col min="3" max="3" width="52.90625" style="2" customWidth="1"/>
    <col min="4" max="6" width="16.08984375" style="2" customWidth="1"/>
    <col min="7" max="7" width="2.08984375" style="2" customWidth="1"/>
    <col min="8" max="8" width="8.90625" style="2" customWidth="1"/>
    <col min="9" max="9" width="0" style="2" hidden="1" customWidth="1"/>
    <col min="10" max="16384" width="8.90625" style="2" hidden="1"/>
  </cols>
  <sheetData>
    <row r="1" spans="1:7" ht="14.5" x14ac:dyDescent="0.35">
      <c r="A1" s="39"/>
      <c r="B1" s="25"/>
      <c r="C1" s="40"/>
      <c r="D1" s="25"/>
      <c r="E1" s="25"/>
      <c r="F1" s="25"/>
      <c r="G1" s="41"/>
    </row>
    <row r="2" spans="1:7" ht="54" customHeight="1" x14ac:dyDescent="0.25">
      <c r="A2" s="28"/>
      <c r="C2" s="147" t="s">
        <v>124</v>
      </c>
      <c r="D2" s="147"/>
      <c r="E2" s="42"/>
      <c r="G2" s="43"/>
    </row>
    <row r="3" spans="1:7" x14ac:dyDescent="0.25">
      <c r="A3" s="28"/>
      <c r="G3" s="43"/>
    </row>
    <row r="4" spans="1:7" ht="0.65" customHeight="1" x14ac:dyDescent="0.25">
      <c r="A4" s="28"/>
      <c r="G4" s="43"/>
    </row>
    <row r="5" spans="1:7" x14ac:dyDescent="0.25">
      <c r="A5" s="28"/>
      <c r="G5" s="43"/>
    </row>
    <row r="6" spans="1:7" ht="14.4" customHeight="1" x14ac:dyDescent="0.3">
      <c r="A6" s="28"/>
      <c r="B6" s="44" t="s">
        <v>82</v>
      </c>
      <c r="C6" s="44"/>
      <c r="D6" s="44"/>
      <c r="E6" s="44"/>
      <c r="F6" s="44"/>
      <c r="G6" s="43"/>
    </row>
    <row r="7" spans="1:7" ht="14" x14ac:dyDescent="0.3">
      <c r="A7" s="28"/>
      <c r="C7" s="44"/>
      <c r="D7" s="45" t="s">
        <v>5</v>
      </c>
      <c r="E7" s="3" t="s">
        <v>6</v>
      </c>
      <c r="F7" s="45" t="s">
        <v>7</v>
      </c>
      <c r="G7" s="43"/>
    </row>
    <row r="8" spans="1:7" ht="14" x14ac:dyDescent="0.3">
      <c r="A8" s="28"/>
      <c r="C8" s="4" t="s">
        <v>125</v>
      </c>
      <c r="D8" s="5">
        <v>250</v>
      </c>
      <c r="E8" s="19">
        <v>163.47999999999999</v>
      </c>
      <c r="F8" s="7">
        <f>E8*(D8/1000)</f>
        <v>40.869999999999997</v>
      </c>
      <c r="G8" s="43"/>
    </row>
    <row r="9" spans="1:7" x14ac:dyDescent="0.25">
      <c r="A9" s="28"/>
      <c r="C9" s="85" t="s">
        <v>109</v>
      </c>
      <c r="D9" s="9">
        <v>350</v>
      </c>
      <c r="E9" s="19">
        <v>148.5</v>
      </c>
      <c r="F9" s="11">
        <f t="shared" ref="F9:F10" si="0">E9*(D9/1000)</f>
        <v>51.974999999999994</v>
      </c>
      <c r="G9" s="43"/>
    </row>
    <row r="10" spans="1:7" x14ac:dyDescent="0.25">
      <c r="A10" s="28"/>
      <c r="C10" s="8"/>
      <c r="D10" s="9"/>
      <c r="E10" s="19">
        <f>IFERROR(VLOOKUP(C10,BDD_INGREDIENTES!$B:$C,2,FALSE),0)</f>
        <v>0</v>
      </c>
      <c r="F10" s="11">
        <f t="shared" si="0"/>
        <v>0</v>
      </c>
      <c r="G10" s="43"/>
    </row>
    <row r="11" spans="1:7" ht="15" x14ac:dyDescent="0.3">
      <c r="A11" s="28"/>
      <c r="C11" s="12" t="s">
        <v>8</v>
      </c>
      <c r="D11" s="13">
        <f>SUM(D8:D10)</f>
        <v>600</v>
      </c>
      <c r="E11" s="14"/>
      <c r="F11" s="15">
        <f>SUM(F8:F10)</f>
        <v>92.844999999999999</v>
      </c>
      <c r="G11" s="43"/>
    </row>
    <row r="12" spans="1:7" x14ac:dyDescent="0.25">
      <c r="A12" s="28"/>
      <c r="E12" s="46"/>
      <c r="F12" s="47"/>
      <c r="G12" s="43"/>
    </row>
    <row r="13" spans="1:7" ht="14" x14ac:dyDescent="0.3">
      <c r="A13" s="28"/>
      <c r="B13" s="44" t="s">
        <v>126</v>
      </c>
      <c r="C13" s="44"/>
      <c r="D13" s="44"/>
      <c r="E13" s="44"/>
      <c r="F13" s="44"/>
      <c r="G13" s="43"/>
    </row>
    <row r="14" spans="1:7" ht="14" x14ac:dyDescent="0.3">
      <c r="A14" s="28"/>
      <c r="C14" s="44"/>
      <c r="D14" s="45" t="s">
        <v>5</v>
      </c>
      <c r="E14" s="3" t="s">
        <v>6</v>
      </c>
      <c r="F14" s="45" t="s">
        <v>7</v>
      </c>
      <c r="G14" s="43"/>
    </row>
    <row r="15" spans="1:7" ht="14" x14ac:dyDescent="0.3">
      <c r="A15" s="28"/>
      <c r="C15" s="4" t="s">
        <v>127</v>
      </c>
      <c r="D15" s="5">
        <v>250</v>
      </c>
      <c r="E15" s="19">
        <v>40.99</v>
      </c>
      <c r="F15" s="7">
        <f>E15*(D15/1000)</f>
        <v>10.2475</v>
      </c>
      <c r="G15" s="43"/>
    </row>
    <row r="16" spans="1:7" x14ac:dyDescent="0.25">
      <c r="A16" s="28"/>
      <c r="C16" s="85" t="s">
        <v>99</v>
      </c>
      <c r="D16" s="9">
        <v>350</v>
      </c>
      <c r="E16" s="19">
        <v>1.4999999999999999E-4</v>
      </c>
      <c r="F16" s="11">
        <f t="shared" ref="F16:F18" si="1">E16*(D16/1000)</f>
        <v>5.2499999999999995E-5</v>
      </c>
      <c r="G16" s="43"/>
    </row>
    <row r="17" spans="1:7" x14ac:dyDescent="0.25">
      <c r="A17" s="28"/>
      <c r="C17" s="85" t="s">
        <v>128</v>
      </c>
      <c r="D17" s="9">
        <v>20</v>
      </c>
      <c r="E17" s="19">
        <v>148.5</v>
      </c>
      <c r="F17" s="11">
        <f t="shared" si="1"/>
        <v>2.97</v>
      </c>
      <c r="G17" s="43"/>
    </row>
    <row r="18" spans="1:7" x14ac:dyDescent="0.25">
      <c r="A18" s="28"/>
      <c r="C18" s="8"/>
      <c r="D18" s="9"/>
      <c r="E18" s="19">
        <f>IFERROR(VLOOKUP(C18,BDD_INGREDIENTES!$B:$C,2,FALSE),0)</f>
        <v>0</v>
      </c>
      <c r="F18" s="11">
        <f t="shared" si="1"/>
        <v>0</v>
      </c>
      <c r="G18" s="43"/>
    </row>
    <row r="19" spans="1:7" ht="15" x14ac:dyDescent="0.3">
      <c r="A19" s="28"/>
      <c r="C19" s="12" t="s">
        <v>8</v>
      </c>
      <c r="D19" s="13">
        <f>SUM(D15:D18)</f>
        <v>620</v>
      </c>
      <c r="E19" s="14"/>
      <c r="F19" s="15">
        <f>SUM(F15:F18)</f>
        <v>13.217552500000002</v>
      </c>
      <c r="G19" s="43"/>
    </row>
    <row r="20" spans="1:7" x14ac:dyDescent="0.25">
      <c r="A20" s="28"/>
      <c r="E20" s="46"/>
      <c r="F20" s="47"/>
      <c r="G20" s="43"/>
    </row>
    <row r="21" spans="1:7" x14ac:dyDescent="0.25">
      <c r="A21" s="28"/>
      <c r="E21" s="46"/>
      <c r="F21" s="47"/>
      <c r="G21" s="43"/>
    </row>
    <row r="22" spans="1:7" x14ac:dyDescent="0.25">
      <c r="A22" s="28"/>
      <c r="E22" s="46"/>
      <c r="F22" s="47"/>
      <c r="G22" s="43"/>
    </row>
    <row r="23" spans="1:7" ht="14.4" customHeight="1" x14ac:dyDescent="0.3">
      <c r="A23" s="28"/>
      <c r="B23" s="44" t="s">
        <v>9</v>
      </c>
      <c r="C23" s="44"/>
      <c r="D23" s="44"/>
      <c r="E23" s="48"/>
      <c r="F23" s="49"/>
      <c r="G23" s="43"/>
    </row>
    <row r="24" spans="1:7" ht="14" x14ac:dyDescent="0.3">
      <c r="A24" s="28"/>
      <c r="C24" s="44"/>
      <c r="D24" s="45" t="s">
        <v>5</v>
      </c>
      <c r="E24" s="16" t="s">
        <v>6</v>
      </c>
      <c r="F24" s="49" t="s">
        <v>7</v>
      </c>
      <c r="G24" s="43"/>
    </row>
    <row r="25" spans="1:7" ht="14" x14ac:dyDescent="0.3">
      <c r="A25" s="28"/>
      <c r="C25" s="67" t="s">
        <v>129</v>
      </c>
      <c r="D25" s="9"/>
      <c r="E25" s="19"/>
      <c r="F25" s="11"/>
      <c r="G25" s="43"/>
    </row>
    <row r="26" spans="1:7" ht="14" x14ac:dyDescent="0.3">
      <c r="A26" s="28"/>
      <c r="C26" s="23" t="s">
        <v>103</v>
      </c>
      <c r="D26" s="9">
        <v>100</v>
      </c>
      <c r="E26" s="19">
        <v>25.55</v>
      </c>
      <c r="F26" s="11">
        <f t="shared" ref="F26:F33" si="2">E26*(D26/1000)</f>
        <v>2.5550000000000002</v>
      </c>
      <c r="G26" s="43"/>
    </row>
    <row r="27" spans="1:7" ht="14" x14ac:dyDescent="0.3">
      <c r="A27" s="28"/>
      <c r="C27" s="23" t="s">
        <v>112</v>
      </c>
      <c r="D27" s="9">
        <v>100</v>
      </c>
      <c r="E27" s="19">
        <v>0</v>
      </c>
      <c r="F27" s="11">
        <f t="shared" ref="F27" si="3">E27*(D27/1000)</f>
        <v>0</v>
      </c>
      <c r="G27" s="43"/>
    </row>
    <row r="28" spans="1:7" x14ac:dyDescent="0.25">
      <c r="A28" s="28"/>
      <c r="C28" s="8"/>
      <c r="D28" s="9"/>
      <c r="E28" s="19"/>
      <c r="F28" s="11"/>
      <c r="G28" s="43"/>
    </row>
    <row r="29" spans="1:7" ht="14" x14ac:dyDescent="0.3">
      <c r="A29" s="28"/>
      <c r="C29" s="67" t="s">
        <v>130</v>
      </c>
      <c r="D29" s="9"/>
      <c r="E29" s="19"/>
      <c r="F29" s="11"/>
      <c r="G29" s="43"/>
    </row>
    <row r="30" spans="1:7" x14ac:dyDescent="0.25">
      <c r="A30" s="28"/>
      <c r="C30" s="8" t="s">
        <v>131</v>
      </c>
      <c r="D30" s="9">
        <v>100</v>
      </c>
      <c r="E30" s="19">
        <v>29.9</v>
      </c>
      <c r="F30" s="11">
        <f t="shared" ref="F30" si="4">E30*(D30/1000)</f>
        <v>2.99</v>
      </c>
      <c r="G30" s="43"/>
    </row>
    <row r="31" spans="1:7" x14ac:dyDescent="0.25">
      <c r="A31" s="28"/>
      <c r="C31" s="8" t="s">
        <v>101</v>
      </c>
      <c r="D31" s="9">
        <v>50</v>
      </c>
      <c r="E31" s="19">
        <f>IFERROR(VLOOKUP(C31,BDD_INGREDIENTES!$B:$C,2,FALSE),0)</f>
        <v>3.59</v>
      </c>
      <c r="F31" s="11">
        <f t="shared" si="2"/>
        <v>0.17949999999999999</v>
      </c>
      <c r="G31" s="43"/>
    </row>
    <row r="32" spans="1:7" x14ac:dyDescent="0.25">
      <c r="A32" s="28"/>
      <c r="C32" s="8" t="s">
        <v>132</v>
      </c>
      <c r="D32" s="9">
        <v>20</v>
      </c>
      <c r="E32" s="19">
        <v>3</v>
      </c>
      <c r="F32" s="11">
        <f t="shared" si="2"/>
        <v>0.06</v>
      </c>
      <c r="G32" s="43"/>
    </row>
    <row r="33" spans="1:7" x14ac:dyDescent="0.25">
      <c r="A33" s="28"/>
      <c r="C33" s="8"/>
      <c r="D33" s="9"/>
      <c r="E33" s="19">
        <f>IFERROR(VLOOKUP(C33,BDD_INGREDIENTES!$B:$C,2,FALSE),0)</f>
        <v>0</v>
      </c>
      <c r="F33" s="11">
        <f t="shared" si="2"/>
        <v>0</v>
      </c>
      <c r="G33" s="43"/>
    </row>
    <row r="34" spans="1:7" ht="15" x14ac:dyDescent="0.3">
      <c r="A34" s="28"/>
      <c r="C34" s="12" t="s">
        <v>11</v>
      </c>
      <c r="D34" s="13">
        <f>SUM(D25:D33)</f>
        <v>370</v>
      </c>
      <c r="E34" s="14"/>
      <c r="F34" s="15">
        <f>SUM(F25:F33)</f>
        <v>5.7844999999999995</v>
      </c>
      <c r="G34" s="43"/>
    </row>
    <row r="35" spans="1:7" x14ac:dyDescent="0.25">
      <c r="A35" s="28"/>
      <c r="E35" s="46"/>
      <c r="F35" s="47"/>
      <c r="G35" s="43"/>
    </row>
    <row r="36" spans="1:7" x14ac:dyDescent="0.25">
      <c r="A36" s="28"/>
      <c r="E36" s="46"/>
      <c r="F36" s="47"/>
      <c r="G36" s="43"/>
    </row>
    <row r="37" spans="1:7" ht="14" x14ac:dyDescent="0.3">
      <c r="A37" s="28"/>
      <c r="B37" s="44" t="s">
        <v>12</v>
      </c>
      <c r="C37" s="44"/>
      <c r="D37" s="44"/>
      <c r="E37" s="48"/>
      <c r="F37" s="49"/>
      <c r="G37" s="43"/>
    </row>
    <row r="38" spans="1:7" ht="14" x14ac:dyDescent="0.3">
      <c r="A38" s="28"/>
      <c r="C38" s="22"/>
      <c r="D38" s="3" t="s">
        <v>5</v>
      </c>
      <c r="E38" s="16" t="s">
        <v>6</v>
      </c>
      <c r="F38" s="16" t="s">
        <v>7</v>
      </c>
      <c r="G38" s="43"/>
    </row>
    <row r="39" spans="1:7" ht="14" x14ac:dyDescent="0.3">
      <c r="A39" s="28"/>
      <c r="C39" s="23" t="s">
        <v>112</v>
      </c>
      <c r="D39" s="9">
        <v>200</v>
      </c>
      <c r="E39" s="19">
        <v>60</v>
      </c>
      <c r="F39" s="11">
        <f t="shared" ref="F39:F44" si="5">E39*(D39/1000)</f>
        <v>12</v>
      </c>
      <c r="G39" s="43"/>
    </row>
    <row r="40" spans="1:7" x14ac:dyDescent="0.25">
      <c r="A40" s="28"/>
      <c r="C40" s="8"/>
      <c r="D40" s="9"/>
      <c r="E40" s="19">
        <f>IFERROR(VLOOKUP(C40,BDD_INGREDIENTES!$B:$C,2,FALSE),0)</f>
        <v>0</v>
      </c>
      <c r="F40" s="11">
        <f t="shared" si="5"/>
        <v>0</v>
      </c>
      <c r="G40" s="43"/>
    </row>
    <row r="41" spans="1:7" x14ac:dyDescent="0.25">
      <c r="A41" s="28"/>
      <c r="C41" s="8"/>
      <c r="D41" s="9"/>
      <c r="E41" s="19">
        <f>IFERROR(VLOOKUP(C41,BDD_INGREDIENTES!$B:$C,2,FALSE),0)</f>
        <v>0</v>
      </c>
      <c r="F41" s="11">
        <f t="shared" si="5"/>
        <v>0</v>
      </c>
      <c r="G41" s="43"/>
    </row>
    <row r="42" spans="1:7" x14ac:dyDescent="0.25">
      <c r="A42" s="28"/>
      <c r="C42" s="17"/>
      <c r="D42" s="18"/>
      <c r="E42" s="19">
        <f>IFERROR(VLOOKUP(C42,BDD_INGREDIENTES!$B:$C,2,FALSE),0)</f>
        <v>0</v>
      </c>
      <c r="F42" s="11">
        <f t="shared" si="5"/>
        <v>0</v>
      </c>
      <c r="G42" s="43"/>
    </row>
    <row r="43" spans="1:7" x14ac:dyDescent="0.25">
      <c r="A43" s="28"/>
      <c r="C43" s="17"/>
      <c r="D43" s="18"/>
      <c r="E43" s="19">
        <f>IFERROR(VLOOKUP(C43,BDD_INGREDIENTES!$B:$C,2,FALSE),0)</f>
        <v>0</v>
      </c>
      <c r="F43" s="11">
        <f t="shared" si="5"/>
        <v>0</v>
      </c>
      <c r="G43" s="43"/>
    </row>
    <row r="44" spans="1:7" ht="14" x14ac:dyDescent="0.3">
      <c r="A44" s="28"/>
      <c r="C44" s="21"/>
      <c r="D44" s="18"/>
      <c r="E44" s="19"/>
      <c r="F44" s="11">
        <f t="shared" si="5"/>
        <v>0</v>
      </c>
      <c r="G44" s="43"/>
    </row>
    <row r="45" spans="1:7" ht="15" x14ac:dyDescent="0.3">
      <c r="A45" s="28"/>
      <c r="C45" s="12" t="s">
        <v>13</v>
      </c>
      <c r="D45" s="13">
        <f>SUM(D39:D44)</f>
        <v>200</v>
      </c>
      <c r="E45" s="14"/>
      <c r="F45" s="15">
        <f>SUM(F39:F44)</f>
        <v>12</v>
      </c>
      <c r="G45" s="43"/>
    </row>
    <row r="46" spans="1:7" ht="14" thickBot="1" x14ac:dyDescent="0.3">
      <c r="A46" s="28"/>
      <c r="G46" s="43"/>
    </row>
    <row r="47" spans="1:7" ht="17.5" x14ac:dyDescent="0.35">
      <c r="A47" s="28"/>
      <c r="B47" s="24" t="s">
        <v>18</v>
      </c>
      <c r="C47" s="25"/>
      <c r="D47" s="25"/>
      <c r="E47" s="26" t="s">
        <v>5</v>
      </c>
      <c r="F47" s="27" t="s">
        <v>14</v>
      </c>
      <c r="G47" s="43"/>
    </row>
    <row r="48" spans="1:7" x14ac:dyDescent="0.25">
      <c r="A48" s="28"/>
      <c r="B48" s="28" t="s">
        <v>24</v>
      </c>
      <c r="E48" s="50">
        <f>D11+D34+D45</f>
        <v>1170</v>
      </c>
      <c r="F48" s="29">
        <f>F45+F34+F11</f>
        <v>110.62950000000001</v>
      </c>
      <c r="G48" s="43"/>
    </row>
    <row r="49" spans="1:9" ht="14" x14ac:dyDescent="0.3">
      <c r="A49" s="28"/>
      <c r="B49" s="28" t="s">
        <v>36</v>
      </c>
      <c r="D49" s="51">
        <v>0</v>
      </c>
      <c r="E49" s="50">
        <f>+E48*(1-D49)</f>
        <v>1170</v>
      </c>
      <c r="F49" s="29">
        <f>F48</f>
        <v>110.62950000000001</v>
      </c>
      <c r="G49" s="43"/>
    </row>
    <row r="50" spans="1:9" ht="17.5" x14ac:dyDescent="0.35">
      <c r="A50" s="28"/>
      <c r="B50" s="30" t="s">
        <v>15</v>
      </c>
      <c r="E50" s="144">
        <v>350</v>
      </c>
      <c r="F50" s="145"/>
      <c r="G50" s="43"/>
    </row>
    <row r="51" spans="1:9" ht="17.5" x14ac:dyDescent="0.35">
      <c r="A51" s="28"/>
      <c r="B51" s="30" t="s">
        <v>19</v>
      </c>
      <c r="C51" s="52"/>
      <c r="E51" s="139">
        <f>ROUNDDOWN(E49/E50,0)</f>
        <v>3</v>
      </c>
      <c r="F51" s="140"/>
      <c r="G51" s="43"/>
    </row>
    <row r="52" spans="1:9" ht="17.5" x14ac:dyDescent="0.35">
      <c r="A52" s="28"/>
      <c r="B52" s="31" t="s">
        <v>20</v>
      </c>
      <c r="C52" s="53"/>
      <c r="D52" s="52"/>
      <c r="E52" s="137">
        <f>F49/E51</f>
        <v>36.8765</v>
      </c>
      <c r="F52" s="138"/>
      <c r="G52" s="43"/>
    </row>
    <row r="53" spans="1:9" x14ac:dyDescent="0.25">
      <c r="A53" s="28"/>
      <c r="B53" s="32" t="s">
        <v>21</v>
      </c>
      <c r="C53" s="54"/>
      <c r="D53" s="55"/>
      <c r="E53" s="135">
        <f>E52/(E50/1000)</f>
        <v>105.36142857142858</v>
      </c>
      <c r="F53" s="136"/>
      <c r="G53" s="43"/>
    </row>
    <row r="54" spans="1:9" ht="17.5" x14ac:dyDescent="0.35">
      <c r="A54" s="28"/>
      <c r="B54" s="33" t="s">
        <v>16</v>
      </c>
      <c r="C54" s="56"/>
      <c r="E54" s="133">
        <v>1</v>
      </c>
      <c r="F54" s="134"/>
      <c r="G54" s="43"/>
    </row>
    <row r="55" spans="1:9" ht="18" thickBot="1" x14ac:dyDescent="0.4">
      <c r="A55" s="28"/>
      <c r="B55" s="34" t="s">
        <v>17</v>
      </c>
      <c r="C55" s="35"/>
      <c r="D55" s="36"/>
      <c r="E55" s="131">
        <f>(E52*(1+E54))</f>
        <v>73.753</v>
      </c>
      <c r="F55" s="132"/>
      <c r="G55" s="43"/>
    </row>
    <row r="56" spans="1:9" x14ac:dyDescent="0.25">
      <c r="A56" s="28"/>
      <c r="G56" s="43"/>
    </row>
    <row r="57" spans="1:9" x14ac:dyDescent="0.25">
      <c r="A57" s="28"/>
      <c r="G57" s="43"/>
    </row>
    <row r="58" spans="1:9" ht="19.5" x14ac:dyDescent="0.35">
      <c r="A58" s="28"/>
      <c r="B58" s="57" t="s">
        <v>25</v>
      </c>
      <c r="C58" s="58"/>
      <c r="D58" s="58"/>
      <c r="E58" s="58"/>
      <c r="F58" s="58"/>
      <c r="G58" s="43"/>
    </row>
    <row r="59" spans="1:9" x14ac:dyDescent="0.25">
      <c r="A59" s="28"/>
      <c r="G59" s="43"/>
    </row>
    <row r="60" spans="1:9" ht="16" x14ac:dyDescent="0.25">
      <c r="A60" s="28"/>
      <c r="B60" s="59" t="s">
        <v>185</v>
      </c>
      <c r="C60" s="37"/>
      <c r="D60" s="37"/>
      <c r="E60" s="37"/>
      <c r="F60" s="37"/>
      <c r="G60" s="60"/>
      <c r="H60" s="37"/>
    </row>
    <row r="61" spans="1:9" ht="120" customHeight="1" x14ac:dyDescent="0.25">
      <c r="A61" s="28"/>
      <c r="B61" s="129" t="s">
        <v>186</v>
      </c>
      <c r="C61" s="129"/>
      <c r="D61" s="129"/>
      <c r="E61" s="129"/>
      <c r="F61" s="129"/>
      <c r="G61" s="61"/>
      <c r="H61" s="38"/>
    </row>
    <row r="62" spans="1:9" x14ac:dyDescent="0.25">
      <c r="A62" s="28"/>
      <c r="G62" s="43"/>
    </row>
    <row r="63" spans="1:9" ht="16" x14ac:dyDescent="0.25">
      <c r="A63" s="28"/>
      <c r="B63" s="59" t="s">
        <v>27</v>
      </c>
      <c r="C63" s="37"/>
      <c r="D63" s="37"/>
      <c r="E63" s="37"/>
      <c r="F63" s="37"/>
      <c r="G63" s="60"/>
      <c r="H63" s="37"/>
      <c r="I63" s="37"/>
    </row>
    <row r="64" spans="1:9" ht="78.650000000000006" customHeight="1" x14ac:dyDescent="0.25">
      <c r="A64" s="28"/>
      <c r="B64" s="129" t="s">
        <v>187</v>
      </c>
      <c r="C64" s="129"/>
      <c r="D64" s="129"/>
      <c r="E64" s="129"/>
      <c r="F64" s="129"/>
      <c r="G64" s="65"/>
      <c r="H64" s="66"/>
      <c r="I64" s="66"/>
    </row>
    <row r="65" spans="1:9" x14ac:dyDescent="0.25">
      <c r="A65" s="28"/>
      <c r="G65" s="43"/>
    </row>
    <row r="66" spans="1:9" ht="16" x14ac:dyDescent="0.25">
      <c r="A66" s="28"/>
      <c r="B66" s="59" t="s">
        <v>184</v>
      </c>
      <c r="C66" s="37"/>
      <c r="D66" s="37"/>
      <c r="E66" s="37"/>
      <c r="F66" s="37"/>
      <c r="G66" s="60"/>
      <c r="H66" s="37"/>
      <c r="I66" s="37"/>
    </row>
    <row r="67" spans="1:9" ht="78.650000000000006" customHeight="1" x14ac:dyDescent="0.25">
      <c r="A67" s="28"/>
      <c r="B67" s="129" t="s">
        <v>188</v>
      </c>
      <c r="C67" s="129"/>
      <c r="D67" s="129"/>
      <c r="E67" s="129"/>
      <c r="F67" s="129"/>
      <c r="G67" s="65"/>
      <c r="H67" s="66"/>
      <c r="I67" s="66"/>
    </row>
    <row r="68" spans="1:9" ht="14" thickBot="1" x14ac:dyDescent="0.3">
      <c r="A68" s="62"/>
      <c r="B68" s="63"/>
      <c r="C68" s="63"/>
      <c r="D68" s="63"/>
      <c r="E68" s="63"/>
      <c r="F68" s="63"/>
      <c r="G68" s="64"/>
    </row>
    <row r="70" spans="1:9" ht="14" x14ac:dyDescent="0.3">
      <c r="B70" s="72" t="s">
        <v>55</v>
      </c>
      <c r="C70" s="73"/>
      <c r="D70" s="73"/>
      <c r="E70" s="73"/>
      <c r="F70" s="73"/>
    </row>
    <row r="71" spans="1:9" ht="49.25" customHeight="1" x14ac:dyDescent="0.25">
      <c r="B71" s="146" t="s">
        <v>67</v>
      </c>
      <c r="C71" s="146"/>
      <c r="D71" s="146"/>
      <c r="E71" s="146"/>
      <c r="F71" s="146"/>
    </row>
    <row r="139" spans="2:6" ht="14.5" x14ac:dyDescent="0.35">
      <c r="B139"/>
      <c r="C139"/>
      <c r="D139"/>
      <c r="E139"/>
      <c r="F139"/>
    </row>
    <row r="140" spans="2:6" ht="14.5" x14ac:dyDescent="0.35">
      <c r="B140"/>
      <c r="C140"/>
      <c r="D140"/>
      <c r="E140"/>
      <c r="F140"/>
    </row>
    <row r="141" spans="2:6" ht="14.5" x14ac:dyDescent="0.35">
      <c r="B141"/>
      <c r="C141"/>
      <c r="D141"/>
      <c r="E141"/>
      <c r="F141"/>
    </row>
    <row r="142" spans="2:6" ht="14.5" x14ac:dyDescent="0.35">
      <c r="B142"/>
      <c r="C142"/>
      <c r="D142"/>
      <c r="E142"/>
      <c r="F142"/>
    </row>
    <row r="143" spans="2:6" ht="14.5" x14ac:dyDescent="0.35">
      <c r="B143"/>
      <c r="C143"/>
      <c r="D143"/>
      <c r="E143"/>
      <c r="F143"/>
    </row>
    <row r="144" spans="2:6" ht="14.5" x14ac:dyDescent="0.35">
      <c r="B144"/>
      <c r="C144"/>
      <c r="D144"/>
      <c r="E144"/>
      <c r="F144"/>
    </row>
    <row r="145" spans="2:6" ht="14.5" x14ac:dyDescent="0.35">
      <c r="B145"/>
      <c r="C145"/>
      <c r="D145"/>
      <c r="E145"/>
      <c r="F145"/>
    </row>
    <row r="146" spans="2:6" ht="14.5" x14ac:dyDescent="0.35">
      <c r="B146"/>
      <c r="C146"/>
      <c r="D146"/>
      <c r="E146"/>
      <c r="F146"/>
    </row>
    <row r="147" spans="2:6" ht="14.5" x14ac:dyDescent="0.35">
      <c r="B147"/>
      <c r="C147"/>
      <c r="D147"/>
      <c r="E147"/>
      <c r="F147"/>
    </row>
    <row r="148" spans="2:6" ht="14.5" x14ac:dyDescent="0.35">
      <c r="B148"/>
      <c r="C148"/>
      <c r="D148"/>
      <c r="E148"/>
      <c r="F148"/>
    </row>
  </sheetData>
  <mergeCells count="11">
    <mergeCell ref="B71:F71"/>
    <mergeCell ref="C2:D2"/>
    <mergeCell ref="E50:F50"/>
    <mergeCell ref="E51:F51"/>
    <mergeCell ref="E52:F52"/>
    <mergeCell ref="E53:F53"/>
    <mergeCell ref="E54:F54"/>
    <mergeCell ref="E55:F55"/>
    <mergeCell ref="B61:F61"/>
    <mergeCell ref="B64:F64"/>
    <mergeCell ref="B67:F67"/>
  </mergeCells>
  <pageMargins left="0.25" right="0.25" top="0.75" bottom="0.75" header="0.3" footer="0.3"/>
  <pageSetup paperSize="9" scale="60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66815-556C-4286-A162-1CD1EBC812F9}">
  <sheetPr>
    <tabColor rgb="FF541C00"/>
    <pageSetUpPr fitToPage="1"/>
  </sheetPr>
  <dimension ref="A1:K139"/>
  <sheetViews>
    <sheetView showGridLines="0" zoomScale="70" zoomScaleNormal="70" workbookViewId="0">
      <selection activeCell="E25" sqref="E25"/>
    </sheetView>
  </sheetViews>
  <sheetFormatPr defaultColWidth="0" defaultRowHeight="13.5" x14ac:dyDescent="0.25"/>
  <cols>
    <col min="1" max="1" width="2.08984375" style="2" customWidth="1"/>
    <col min="2" max="2" width="1.81640625" style="2" customWidth="1"/>
    <col min="3" max="3" width="52.90625" style="2" customWidth="1"/>
    <col min="4" max="6" width="16.08984375" style="2" customWidth="1"/>
    <col min="7" max="7" width="2.08984375" style="2" customWidth="1"/>
    <col min="8" max="8" width="8.90625" style="2" customWidth="1"/>
    <col min="9" max="11" width="0" style="2" hidden="1" customWidth="1"/>
    <col min="12" max="16384" width="8.90625" style="2" hidden="1"/>
  </cols>
  <sheetData>
    <row r="1" spans="1:11" ht="14.5" x14ac:dyDescent="0.35">
      <c r="A1" s="39"/>
      <c r="B1" s="25"/>
      <c r="C1" s="40"/>
      <c r="D1" s="25"/>
      <c r="E1" s="25"/>
      <c r="F1" s="25"/>
      <c r="G1" s="41"/>
    </row>
    <row r="2" spans="1:11" ht="54" customHeight="1" x14ac:dyDescent="0.25">
      <c r="A2" s="28"/>
      <c r="C2" s="147" t="s">
        <v>133</v>
      </c>
      <c r="D2" s="147"/>
      <c r="E2" s="42"/>
      <c r="G2" s="43"/>
    </row>
    <row r="3" spans="1:11" x14ac:dyDescent="0.25">
      <c r="A3" s="28"/>
      <c r="G3" s="43"/>
    </row>
    <row r="4" spans="1:11" ht="0.65" customHeight="1" x14ac:dyDescent="0.25">
      <c r="A4" s="28"/>
      <c r="G4" s="43"/>
    </row>
    <row r="5" spans="1:11" x14ac:dyDescent="0.25">
      <c r="A5" s="28"/>
      <c r="G5" s="43"/>
    </row>
    <row r="6" spans="1:11" ht="14.4" customHeight="1" x14ac:dyDescent="0.3">
      <c r="A6" s="28"/>
      <c r="B6" s="44" t="s">
        <v>4</v>
      </c>
      <c r="C6" s="44"/>
      <c r="D6" s="44"/>
      <c r="E6" s="44"/>
      <c r="F6" s="44"/>
      <c r="G6" s="43"/>
    </row>
    <row r="7" spans="1:11" ht="14" x14ac:dyDescent="0.3">
      <c r="A7" s="28"/>
      <c r="C7" s="44"/>
      <c r="D7" s="45" t="s">
        <v>5</v>
      </c>
      <c r="E7" s="3" t="s">
        <v>6</v>
      </c>
      <c r="F7" s="45" t="s">
        <v>7</v>
      </c>
      <c r="G7" s="43"/>
    </row>
    <row r="8" spans="1:11" ht="14" x14ac:dyDescent="0.3">
      <c r="A8" s="28"/>
      <c r="C8" s="4" t="s">
        <v>32</v>
      </c>
      <c r="D8" s="100">
        <v>250</v>
      </c>
      <c r="E8" s="19">
        <v>77.61</v>
      </c>
      <c r="F8" s="102">
        <f>E8*(D8/1000)</f>
        <v>19.4025</v>
      </c>
      <c r="G8" s="43"/>
    </row>
    <row r="9" spans="1:11" x14ac:dyDescent="0.25">
      <c r="A9" s="28"/>
      <c r="C9" s="85" t="s">
        <v>109</v>
      </c>
      <c r="D9" s="103">
        <v>200</v>
      </c>
      <c r="E9" s="101">
        <v>148.5</v>
      </c>
      <c r="F9" s="104">
        <f t="shared" ref="F9:F13" si="0">E9*(D9/1000)</f>
        <v>29.700000000000003</v>
      </c>
      <c r="G9" s="43"/>
      <c r="I9" s="2" t="s">
        <v>34</v>
      </c>
      <c r="K9" s="2" t="s">
        <v>35</v>
      </c>
    </row>
    <row r="10" spans="1:11" x14ac:dyDescent="0.25">
      <c r="A10" s="28"/>
      <c r="C10" s="8"/>
      <c r="D10" s="9"/>
      <c r="E10" s="19">
        <f>IFERROR(VLOOKUP(C10,BDD_INGREDIENTES!$B:$C,2,FALSE),0)</f>
        <v>0</v>
      </c>
      <c r="F10" s="11">
        <f t="shared" si="0"/>
        <v>0</v>
      </c>
      <c r="G10" s="43"/>
    </row>
    <row r="11" spans="1:11" x14ac:dyDescent="0.25">
      <c r="A11" s="28"/>
      <c r="C11" s="8"/>
      <c r="D11" s="9"/>
      <c r="E11" s="19">
        <f>IFERROR(VLOOKUP(C11,BDD_INGREDIENTES!$B:$C,2,FALSE),0)</f>
        <v>0</v>
      </c>
      <c r="F11" s="11">
        <f t="shared" si="0"/>
        <v>0</v>
      </c>
      <c r="G11" s="43"/>
    </row>
    <row r="12" spans="1:11" x14ac:dyDescent="0.25">
      <c r="A12" s="28"/>
      <c r="C12" s="8"/>
      <c r="D12" s="9"/>
      <c r="E12" s="19">
        <f>IFERROR(VLOOKUP(C12,BDD_INGREDIENTES!$B:$C,2,FALSE),0)</f>
        <v>0</v>
      </c>
      <c r="F12" s="11">
        <f t="shared" si="0"/>
        <v>0</v>
      </c>
      <c r="G12" s="43"/>
    </row>
    <row r="13" spans="1:11" x14ac:dyDescent="0.25">
      <c r="A13" s="28"/>
      <c r="C13" s="8"/>
      <c r="D13" s="9"/>
      <c r="E13" s="19">
        <f>IFERROR(VLOOKUP(C13,BDD_INGREDIENTES!$B:$C,2,FALSE),0)</f>
        <v>0</v>
      </c>
      <c r="F13" s="11">
        <f t="shared" si="0"/>
        <v>0</v>
      </c>
      <c r="G13" s="43"/>
    </row>
    <row r="14" spans="1:11" ht="15" x14ac:dyDescent="0.3">
      <c r="A14" s="28"/>
      <c r="C14" s="12" t="s">
        <v>8</v>
      </c>
      <c r="D14" s="13">
        <f>SUM(D8:D13)</f>
        <v>450</v>
      </c>
      <c r="E14" s="14"/>
      <c r="F14" s="15">
        <f>SUM(F8:F13)</f>
        <v>49.102500000000006</v>
      </c>
      <c r="G14" s="43"/>
    </row>
    <row r="15" spans="1:11" x14ac:dyDescent="0.25">
      <c r="A15" s="28"/>
      <c r="E15" s="46"/>
      <c r="F15" s="47"/>
      <c r="G15" s="43"/>
    </row>
    <row r="16" spans="1:11" x14ac:dyDescent="0.25">
      <c r="A16" s="28"/>
      <c r="E16" s="46"/>
      <c r="F16" s="47"/>
      <c r="G16" s="43"/>
    </row>
    <row r="17" spans="1:7" ht="14.4" customHeight="1" x14ac:dyDescent="0.3">
      <c r="A17" s="28"/>
      <c r="B17" s="44" t="s">
        <v>9</v>
      </c>
      <c r="C17" s="44"/>
      <c r="D17" s="44"/>
      <c r="E17" s="48"/>
      <c r="F17" s="49"/>
      <c r="G17" s="43"/>
    </row>
    <row r="18" spans="1:7" ht="14" x14ac:dyDescent="0.3">
      <c r="A18" s="28"/>
      <c r="C18" s="44"/>
      <c r="D18" s="45" t="s">
        <v>5</v>
      </c>
      <c r="E18" s="16" t="s">
        <v>6</v>
      </c>
      <c r="F18" s="49" t="s">
        <v>7</v>
      </c>
      <c r="G18" s="43"/>
    </row>
    <row r="19" spans="1:7" s="52" customFormat="1" ht="14" x14ac:dyDescent="0.3">
      <c r="A19" s="30"/>
      <c r="C19" s="67" t="s">
        <v>130</v>
      </c>
      <c r="D19" s="9"/>
      <c r="E19" s="19"/>
      <c r="F19" s="78"/>
      <c r="G19" s="75"/>
    </row>
    <row r="20" spans="1:7" x14ac:dyDescent="0.25">
      <c r="A20" s="28"/>
      <c r="C20" s="8" t="s">
        <v>131</v>
      </c>
      <c r="D20" s="9">
        <v>100</v>
      </c>
      <c r="E20" s="19">
        <v>29.9</v>
      </c>
      <c r="F20" s="11">
        <f t="shared" ref="F20:F26" si="1">E20*(D20/1000)</f>
        <v>2.99</v>
      </c>
      <c r="G20" s="43"/>
    </row>
    <row r="21" spans="1:7" x14ac:dyDescent="0.25">
      <c r="A21" s="28"/>
      <c r="C21" s="8" t="s">
        <v>101</v>
      </c>
      <c r="D21" s="9">
        <v>50</v>
      </c>
      <c r="E21" s="19">
        <f>IFERROR(VLOOKUP(C21,BDD_INGREDIENTES!$B:$C,2,FALSE),0)</f>
        <v>3.59</v>
      </c>
      <c r="F21" s="11">
        <f t="shared" si="1"/>
        <v>0.17949999999999999</v>
      </c>
      <c r="G21" s="43"/>
    </row>
    <row r="22" spans="1:7" x14ac:dyDescent="0.25">
      <c r="A22" s="28"/>
      <c r="C22" s="8" t="s">
        <v>132</v>
      </c>
      <c r="D22" s="9">
        <v>20</v>
      </c>
      <c r="E22" s="19">
        <v>3</v>
      </c>
      <c r="F22" s="11">
        <f t="shared" si="1"/>
        <v>0.06</v>
      </c>
      <c r="G22" s="43"/>
    </row>
    <row r="23" spans="1:7" x14ac:dyDescent="0.25">
      <c r="A23" s="28"/>
      <c r="C23" s="8"/>
      <c r="D23" s="9">
        <v>3</v>
      </c>
      <c r="E23" s="19">
        <f>IFERROR(VLOOKUP(C23,BDD_INGREDIENTES!$B:$C,2,FALSE),0)</f>
        <v>0</v>
      </c>
      <c r="F23" s="11">
        <f t="shared" si="1"/>
        <v>0</v>
      </c>
      <c r="G23" s="43"/>
    </row>
    <row r="24" spans="1:7" ht="14" x14ac:dyDescent="0.3">
      <c r="A24" s="28"/>
      <c r="C24" s="23" t="s">
        <v>112</v>
      </c>
      <c r="D24" s="9">
        <v>100</v>
      </c>
      <c r="E24" s="19">
        <v>0</v>
      </c>
      <c r="F24" s="11">
        <f t="shared" si="1"/>
        <v>0</v>
      </c>
      <c r="G24" s="43"/>
    </row>
    <row r="25" spans="1:7" x14ac:dyDescent="0.25">
      <c r="A25" s="28"/>
      <c r="C25" s="8"/>
      <c r="D25" s="9"/>
      <c r="E25" s="19">
        <f>IFERROR(VLOOKUP(C25,BDD_INGREDIENTES!$B:$C,2,FALSE),0)</f>
        <v>0</v>
      </c>
      <c r="F25" s="11">
        <f t="shared" si="1"/>
        <v>0</v>
      </c>
      <c r="G25" s="43"/>
    </row>
    <row r="26" spans="1:7" x14ac:dyDescent="0.25">
      <c r="A26" s="28"/>
      <c r="C26" s="17"/>
      <c r="D26" s="18"/>
      <c r="E26" s="19">
        <f>IFERROR(VLOOKUP(C26,BDD_INGREDIENTES!$B:$C,2,FALSE),0)</f>
        <v>0</v>
      </c>
      <c r="F26" s="11">
        <f t="shared" si="1"/>
        <v>0</v>
      </c>
      <c r="G26" s="43"/>
    </row>
    <row r="27" spans="1:7" ht="15" x14ac:dyDescent="0.3">
      <c r="A27" s="28"/>
      <c r="C27" s="12" t="s">
        <v>11</v>
      </c>
      <c r="D27" s="13">
        <f>SUM(D19:D26)</f>
        <v>273</v>
      </c>
      <c r="E27" s="14"/>
      <c r="F27" s="15">
        <f>SUM(F19:F26)</f>
        <v>3.2295000000000003</v>
      </c>
      <c r="G27" s="43"/>
    </row>
    <row r="28" spans="1:7" x14ac:dyDescent="0.25">
      <c r="A28" s="28"/>
      <c r="E28" s="46"/>
      <c r="F28" s="47"/>
      <c r="G28" s="43"/>
    </row>
    <row r="29" spans="1:7" x14ac:dyDescent="0.25">
      <c r="A29" s="28"/>
      <c r="E29" s="46"/>
      <c r="F29" s="47"/>
      <c r="G29" s="43"/>
    </row>
    <row r="30" spans="1:7" ht="14" x14ac:dyDescent="0.3">
      <c r="A30" s="28"/>
      <c r="B30" s="44" t="s">
        <v>12</v>
      </c>
      <c r="C30" s="44"/>
      <c r="D30" s="44"/>
      <c r="E30" s="48"/>
      <c r="F30" s="49"/>
      <c r="G30" s="43"/>
    </row>
    <row r="31" spans="1:7" ht="14" x14ac:dyDescent="0.3">
      <c r="A31" s="28"/>
      <c r="C31" s="22"/>
      <c r="D31" s="3" t="s">
        <v>5</v>
      </c>
      <c r="E31" s="16" t="s">
        <v>6</v>
      </c>
      <c r="F31" s="16" t="s">
        <v>7</v>
      </c>
      <c r="G31" s="43"/>
    </row>
    <row r="32" spans="1:7" x14ac:dyDescent="0.25">
      <c r="A32" s="28"/>
      <c r="C32" s="68"/>
      <c r="D32" s="9"/>
      <c r="E32" s="19">
        <f>IFERROR(VLOOKUP(C32,BDD_INGREDIENTES!$B:$C,2,FALSE),0)</f>
        <v>0</v>
      </c>
      <c r="F32" s="11">
        <f t="shared" ref="F32:F37" si="2">E32*(D32/1000)</f>
        <v>0</v>
      </c>
      <c r="G32" s="43"/>
    </row>
    <row r="33" spans="1:7" x14ac:dyDescent="0.25">
      <c r="A33" s="28"/>
      <c r="C33" s="8"/>
      <c r="D33" s="9"/>
      <c r="E33" s="19">
        <f>IFERROR(VLOOKUP(C33,BDD_INGREDIENTES!$B:$C,2,FALSE),0)</f>
        <v>0</v>
      </c>
      <c r="F33" s="11">
        <f t="shared" si="2"/>
        <v>0</v>
      </c>
      <c r="G33" s="43"/>
    </row>
    <row r="34" spans="1:7" x14ac:dyDescent="0.25">
      <c r="A34" s="28"/>
      <c r="C34" s="8"/>
      <c r="D34" s="9"/>
      <c r="E34" s="19">
        <f>IFERROR(VLOOKUP(C34,BDD_INGREDIENTES!$B:$C,2,FALSE),0)</f>
        <v>0</v>
      </c>
      <c r="F34" s="11">
        <f t="shared" si="2"/>
        <v>0</v>
      </c>
      <c r="G34" s="43"/>
    </row>
    <row r="35" spans="1:7" x14ac:dyDescent="0.25">
      <c r="A35" s="28"/>
      <c r="C35" s="17"/>
      <c r="D35" s="18"/>
      <c r="E35" s="19">
        <f>IFERROR(VLOOKUP(C35,BDD_INGREDIENTES!$B:$C,2,FALSE),0)</f>
        <v>0</v>
      </c>
      <c r="F35" s="11">
        <f t="shared" si="2"/>
        <v>0</v>
      </c>
      <c r="G35" s="43"/>
    </row>
    <row r="36" spans="1:7" x14ac:dyDescent="0.25">
      <c r="A36" s="28"/>
      <c r="C36" s="17"/>
      <c r="D36" s="18"/>
      <c r="E36" s="19">
        <f>IFERROR(VLOOKUP(C36,BDD_INGREDIENTES!$B:$C,2,FALSE),0)</f>
        <v>0</v>
      </c>
      <c r="F36" s="11">
        <f t="shared" si="2"/>
        <v>0</v>
      </c>
      <c r="G36" s="43"/>
    </row>
    <row r="37" spans="1:7" ht="14" x14ac:dyDescent="0.3">
      <c r="A37" s="28"/>
      <c r="C37" s="21"/>
      <c r="D37" s="18"/>
      <c r="E37" s="19"/>
      <c r="F37" s="11">
        <f t="shared" si="2"/>
        <v>0</v>
      </c>
      <c r="G37" s="43"/>
    </row>
    <row r="38" spans="1:7" ht="15" x14ac:dyDescent="0.3">
      <c r="A38" s="28"/>
      <c r="C38" s="12" t="s">
        <v>13</v>
      </c>
      <c r="D38" s="13">
        <f>SUM(D32:D37)</f>
        <v>0</v>
      </c>
      <c r="E38" s="14"/>
      <c r="F38" s="15">
        <f>SUM(F32:F37)</f>
        <v>0</v>
      </c>
      <c r="G38" s="43"/>
    </row>
    <row r="39" spans="1:7" ht="14" thickBot="1" x14ac:dyDescent="0.3">
      <c r="A39" s="28"/>
      <c r="G39" s="43"/>
    </row>
    <row r="40" spans="1:7" ht="17.5" x14ac:dyDescent="0.35">
      <c r="A40" s="28"/>
      <c r="B40" s="24" t="s">
        <v>18</v>
      </c>
      <c r="C40" s="25"/>
      <c r="D40" s="25"/>
      <c r="E40" s="26" t="s">
        <v>5</v>
      </c>
      <c r="F40" s="27" t="s">
        <v>14</v>
      </c>
      <c r="G40" s="43"/>
    </row>
    <row r="41" spans="1:7" x14ac:dyDescent="0.25">
      <c r="A41" s="28"/>
      <c r="B41" s="28" t="s">
        <v>24</v>
      </c>
      <c r="E41" s="50">
        <f>D14+D27+D38</f>
        <v>723</v>
      </c>
      <c r="F41" s="29">
        <f>F38+F27+F14</f>
        <v>52.332000000000008</v>
      </c>
      <c r="G41" s="43"/>
    </row>
    <row r="42" spans="1:7" ht="14" x14ac:dyDescent="0.3">
      <c r="A42" s="28"/>
      <c r="B42" s="28" t="s">
        <v>36</v>
      </c>
      <c r="D42" s="51">
        <v>0</v>
      </c>
      <c r="E42" s="50">
        <f>+E41*(1-D42)</f>
        <v>723</v>
      </c>
      <c r="F42" s="29">
        <f>F41</f>
        <v>52.332000000000008</v>
      </c>
      <c r="G42" s="43"/>
    </row>
    <row r="43" spans="1:7" ht="17.5" x14ac:dyDescent="0.35">
      <c r="A43" s="28"/>
      <c r="B43" s="30" t="s">
        <v>15</v>
      </c>
      <c r="E43" s="144">
        <v>300</v>
      </c>
      <c r="F43" s="145"/>
      <c r="G43" s="43"/>
    </row>
    <row r="44" spans="1:7" ht="17.5" x14ac:dyDescent="0.35">
      <c r="A44" s="28"/>
      <c r="B44" s="30" t="s">
        <v>19</v>
      </c>
      <c r="C44" s="52"/>
      <c r="E44" s="139">
        <f>ROUNDDOWN(E42/E43,0)</f>
        <v>2</v>
      </c>
      <c r="F44" s="140"/>
      <c r="G44" s="43"/>
    </row>
    <row r="45" spans="1:7" ht="17.5" x14ac:dyDescent="0.35">
      <c r="A45" s="28"/>
      <c r="B45" s="31" t="s">
        <v>20</v>
      </c>
      <c r="C45" s="53"/>
      <c r="D45" s="52"/>
      <c r="E45" s="137">
        <f>F42/E44</f>
        <v>26.166000000000004</v>
      </c>
      <c r="F45" s="138"/>
      <c r="G45" s="43"/>
    </row>
    <row r="46" spans="1:7" x14ac:dyDescent="0.25">
      <c r="A46" s="28"/>
      <c r="B46" s="32" t="s">
        <v>21</v>
      </c>
      <c r="C46" s="54"/>
      <c r="D46" s="55"/>
      <c r="E46" s="135">
        <f>E45/(E43/1000)</f>
        <v>87.220000000000013</v>
      </c>
      <c r="F46" s="136"/>
      <c r="G46" s="43"/>
    </row>
    <row r="47" spans="1:7" ht="17.5" x14ac:dyDescent="0.35">
      <c r="A47" s="28"/>
      <c r="B47" s="33" t="s">
        <v>16</v>
      </c>
      <c r="C47" s="56"/>
      <c r="E47" s="133">
        <v>1</v>
      </c>
      <c r="F47" s="134"/>
      <c r="G47" s="43"/>
    </row>
    <row r="48" spans="1:7" ht="18" thickBot="1" x14ac:dyDescent="0.4">
      <c r="A48" s="28"/>
      <c r="B48" s="34" t="s">
        <v>17</v>
      </c>
      <c r="C48" s="35"/>
      <c r="D48" s="36"/>
      <c r="E48" s="131">
        <f>(E45*(1+E47))</f>
        <v>52.332000000000008</v>
      </c>
      <c r="F48" s="132"/>
      <c r="G48" s="43"/>
    </row>
    <row r="49" spans="1:9" x14ac:dyDescent="0.25">
      <c r="A49" s="28"/>
      <c r="G49" s="43"/>
    </row>
    <row r="50" spans="1:9" x14ac:dyDescent="0.25">
      <c r="A50" s="28"/>
      <c r="G50" s="43"/>
    </row>
    <row r="51" spans="1:9" ht="19.5" x14ac:dyDescent="0.35">
      <c r="A51" s="28"/>
      <c r="B51" s="57" t="s">
        <v>25</v>
      </c>
      <c r="C51" s="58"/>
      <c r="D51" s="58"/>
      <c r="E51" s="58"/>
      <c r="F51" s="58"/>
      <c r="G51" s="43"/>
    </row>
    <row r="52" spans="1:9" x14ac:dyDescent="0.25">
      <c r="A52" s="28"/>
      <c r="G52" s="43"/>
    </row>
    <row r="53" spans="1:9" ht="16" x14ac:dyDescent="0.25">
      <c r="A53" s="28"/>
      <c r="B53" s="59" t="s">
        <v>166</v>
      </c>
      <c r="C53" s="37"/>
      <c r="D53" s="37"/>
      <c r="E53" s="37"/>
      <c r="F53" s="37"/>
      <c r="G53" s="60"/>
      <c r="H53" s="37"/>
    </row>
    <row r="54" spans="1:9" ht="78.650000000000006" customHeight="1" x14ac:dyDescent="0.25">
      <c r="A54" s="28"/>
      <c r="B54" s="129" t="s">
        <v>189</v>
      </c>
      <c r="C54" s="129"/>
      <c r="D54" s="129"/>
      <c r="E54" s="129"/>
      <c r="F54" s="129"/>
      <c r="G54" s="61"/>
      <c r="H54" s="38"/>
    </row>
    <row r="55" spans="1:9" x14ac:dyDescent="0.25">
      <c r="A55" s="28"/>
      <c r="G55" s="43"/>
    </row>
    <row r="56" spans="1:9" ht="16" x14ac:dyDescent="0.25">
      <c r="A56" s="28"/>
      <c r="B56" s="59" t="s">
        <v>27</v>
      </c>
      <c r="C56" s="37"/>
      <c r="D56" s="37"/>
      <c r="E56" s="37"/>
      <c r="F56" s="37"/>
      <c r="G56" s="60"/>
      <c r="H56" s="37"/>
      <c r="I56" s="37"/>
    </row>
    <row r="57" spans="1:9" ht="78.650000000000006" customHeight="1" x14ac:dyDescent="0.25">
      <c r="A57" s="28"/>
      <c r="B57" s="129" t="s">
        <v>190</v>
      </c>
      <c r="C57" s="129"/>
      <c r="D57" s="129"/>
      <c r="E57" s="129"/>
      <c r="F57" s="129"/>
      <c r="G57" s="65"/>
      <c r="H57" s="66"/>
      <c r="I57" s="66"/>
    </row>
    <row r="58" spans="1:9" x14ac:dyDescent="0.25">
      <c r="A58" s="28"/>
      <c r="G58" s="43"/>
    </row>
    <row r="59" spans="1:9" ht="16" x14ac:dyDescent="0.25">
      <c r="A59" s="28"/>
      <c r="B59" s="59" t="s">
        <v>184</v>
      </c>
      <c r="C59" s="37"/>
      <c r="D59" s="37"/>
      <c r="E59" s="37"/>
      <c r="F59" s="37"/>
      <c r="G59" s="60"/>
      <c r="H59" s="37"/>
      <c r="I59" s="37"/>
    </row>
    <row r="60" spans="1:9" ht="78.650000000000006" customHeight="1" x14ac:dyDescent="0.25">
      <c r="A60" s="28"/>
      <c r="B60" s="129" t="s">
        <v>191</v>
      </c>
      <c r="C60" s="129"/>
      <c r="D60" s="129"/>
      <c r="E60" s="129"/>
      <c r="F60" s="129"/>
      <c r="G60" s="65"/>
      <c r="H60" s="66"/>
      <c r="I60" s="66"/>
    </row>
    <row r="61" spans="1:9" ht="14" thickBot="1" x14ac:dyDescent="0.3">
      <c r="A61" s="62"/>
      <c r="B61" s="63"/>
      <c r="C61" s="63"/>
      <c r="D61" s="63"/>
      <c r="E61" s="63"/>
      <c r="F61" s="63"/>
      <c r="G61" s="64"/>
    </row>
    <row r="130" spans="2:6" ht="14.5" x14ac:dyDescent="0.35">
      <c r="B130"/>
      <c r="C130"/>
      <c r="D130"/>
      <c r="E130"/>
      <c r="F130"/>
    </row>
    <row r="131" spans="2:6" ht="14.5" x14ac:dyDescent="0.35">
      <c r="B131"/>
      <c r="C131"/>
      <c r="D131"/>
      <c r="E131"/>
      <c r="F131"/>
    </row>
    <row r="132" spans="2:6" ht="14.5" x14ac:dyDescent="0.35">
      <c r="B132"/>
      <c r="C132"/>
      <c r="D132"/>
      <c r="E132"/>
      <c r="F132"/>
    </row>
    <row r="133" spans="2:6" ht="14.5" x14ac:dyDescent="0.35">
      <c r="B133"/>
      <c r="C133"/>
      <c r="D133"/>
      <c r="E133"/>
      <c r="F133"/>
    </row>
    <row r="134" spans="2:6" ht="14.5" x14ac:dyDescent="0.35">
      <c r="B134"/>
      <c r="C134"/>
      <c r="D134"/>
      <c r="E134"/>
      <c r="F134"/>
    </row>
    <row r="135" spans="2:6" ht="14.5" x14ac:dyDescent="0.35">
      <c r="B135"/>
      <c r="C135"/>
      <c r="D135"/>
      <c r="E135"/>
      <c r="F135"/>
    </row>
    <row r="136" spans="2:6" ht="14.5" x14ac:dyDescent="0.35">
      <c r="B136"/>
      <c r="C136"/>
      <c r="D136"/>
      <c r="E136"/>
      <c r="F136"/>
    </row>
    <row r="137" spans="2:6" ht="14.5" x14ac:dyDescent="0.35">
      <c r="B137"/>
      <c r="C137"/>
      <c r="D137"/>
      <c r="E137"/>
      <c r="F137"/>
    </row>
    <row r="138" spans="2:6" ht="14.5" x14ac:dyDescent="0.35">
      <c r="B138"/>
      <c r="C138"/>
      <c r="D138"/>
      <c r="E138"/>
      <c r="F138"/>
    </row>
    <row r="139" spans="2:6" ht="14.5" x14ac:dyDescent="0.35">
      <c r="B139"/>
      <c r="C139"/>
      <c r="D139"/>
      <c r="E139"/>
      <c r="F139"/>
    </row>
  </sheetData>
  <mergeCells count="10">
    <mergeCell ref="E47:F47"/>
    <mergeCell ref="E48:F48"/>
    <mergeCell ref="B54:F54"/>
    <mergeCell ref="B57:F57"/>
    <mergeCell ref="B60:F60"/>
    <mergeCell ref="C2:D2"/>
    <mergeCell ref="E43:F43"/>
    <mergeCell ref="E44:F44"/>
    <mergeCell ref="E45:F45"/>
    <mergeCell ref="E46:F46"/>
  </mergeCells>
  <pageMargins left="0.25" right="0.25" top="0.75" bottom="0.75" header="0.3" footer="0.3"/>
  <pageSetup paperSize="9" scale="60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36429-D0B0-4FCF-938A-3E7AC40B041B}">
  <sheetPr>
    <tabColor rgb="FF541C00"/>
    <pageSetUpPr fitToPage="1"/>
  </sheetPr>
  <dimension ref="A1:I141"/>
  <sheetViews>
    <sheetView showGridLines="0" zoomScale="66" zoomScaleNormal="66" workbookViewId="0">
      <selection activeCell="C16" sqref="C16"/>
    </sheetView>
  </sheetViews>
  <sheetFormatPr defaultColWidth="0" defaultRowHeight="13.5" x14ac:dyDescent="0.25"/>
  <cols>
    <col min="1" max="1" width="2.08984375" style="2" customWidth="1"/>
    <col min="2" max="2" width="1.81640625" style="2" customWidth="1"/>
    <col min="3" max="3" width="52.90625" style="2" customWidth="1"/>
    <col min="4" max="6" width="16.08984375" style="2" customWidth="1"/>
    <col min="7" max="7" width="2.08984375" style="2" customWidth="1"/>
    <col min="8" max="8" width="8.90625" style="2" customWidth="1"/>
    <col min="9" max="9" width="0" style="2" hidden="1" customWidth="1"/>
    <col min="10" max="16384" width="8.90625" style="2" hidden="1"/>
  </cols>
  <sheetData>
    <row r="1" spans="1:7" ht="14.5" x14ac:dyDescent="0.35">
      <c r="A1" s="39"/>
      <c r="B1" s="25"/>
      <c r="C1" s="40"/>
      <c r="D1" s="25"/>
      <c r="E1" s="25"/>
      <c r="F1" s="25"/>
      <c r="G1" s="41"/>
    </row>
    <row r="2" spans="1:7" ht="54" customHeight="1" x14ac:dyDescent="0.25">
      <c r="A2" s="28"/>
      <c r="C2" s="148" t="s">
        <v>77</v>
      </c>
      <c r="D2" s="148"/>
      <c r="E2" s="42"/>
      <c r="G2" s="43"/>
    </row>
    <row r="3" spans="1:7" x14ac:dyDescent="0.25">
      <c r="A3" s="28"/>
      <c r="G3" s="43"/>
    </row>
    <row r="4" spans="1:7" ht="0.65" customHeight="1" x14ac:dyDescent="0.25">
      <c r="A4" s="28"/>
      <c r="G4" s="43"/>
    </row>
    <row r="5" spans="1:7" x14ac:dyDescent="0.25">
      <c r="A5" s="28"/>
      <c r="G5" s="43"/>
    </row>
    <row r="6" spans="1:7" ht="14.4" customHeight="1" x14ac:dyDescent="0.3">
      <c r="A6" s="28"/>
      <c r="B6" s="44" t="s">
        <v>4</v>
      </c>
      <c r="C6" s="44"/>
      <c r="D6" s="44"/>
      <c r="E6" s="44"/>
      <c r="F6" s="44"/>
      <c r="G6" s="43"/>
    </row>
    <row r="7" spans="1:7" ht="14" x14ac:dyDescent="0.3">
      <c r="A7" s="28"/>
      <c r="C7" s="44"/>
      <c r="D7" s="45" t="s">
        <v>5</v>
      </c>
      <c r="E7" s="3" t="s">
        <v>6</v>
      </c>
      <c r="F7" s="45" t="s">
        <v>7</v>
      </c>
      <c r="G7" s="43"/>
    </row>
    <row r="8" spans="1:7" ht="14" x14ac:dyDescent="0.3">
      <c r="A8" s="28"/>
      <c r="C8" s="96" t="s">
        <v>134</v>
      </c>
      <c r="D8" s="100"/>
      <c r="E8" s="19"/>
      <c r="F8" s="11"/>
      <c r="G8" s="43"/>
    </row>
    <row r="9" spans="1:7" x14ac:dyDescent="0.25">
      <c r="A9" s="28"/>
      <c r="C9" s="85" t="s">
        <v>48</v>
      </c>
      <c r="D9" s="103">
        <v>1350</v>
      </c>
      <c r="E9" s="19">
        <v>4.29</v>
      </c>
      <c r="F9" s="104">
        <f t="shared" ref="F9:F16" si="0">E9*(D9/1000)</f>
        <v>5.7915000000000001</v>
      </c>
      <c r="G9" s="43"/>
    </row>
    <row r="10" spans="1:7" x14ac:dyDescent="0.25">
      <c r="A10" s="28"/>
      <c r="C10" s="8" t="s">
        <v>99</v>
      </c>
      <c r="D10" s="9">
        <v>850</v>
      </c>
      <c r="E10" s="19">
        <f>IFERROR(VLOOKUP(C10,BDD_INGREDIENTES!$B:$C,2,FALSE),0)</f>
        <v>0</v>
      </c>
      <c r="F10" s="11">
        <f t="shared" si="0"/>
        <v>0</v>
      </c>
      <c r="G10" s="43"/>
    </row>
    <row r="11" spans="1:7" x14ac:dyDescent="0.25">
      <c r="A11" s="28"/>
      <c r="C11" s="8" t="s">
        <v>2</v>
      </c>
      <c r="D11" s="9">
        <v>150</v>
      </c>
      <c r="E11" s="19">
        <v>17</v>
      </c>
      <c r="F11" s="11">
        <f t="shared" si="0"/>
        <v>2.5499999999999998</v>
      </c>
      <c r="G11" s="43"/>
    </row>
    <row r="12" spans="1:7" x14ac:dyDescent="0.25">
      <c r="A12" s="28"/>
      <c r="C12" s="8"/>
      <c r="D12" s="9"/>
      <c r="E12" s="19">
        <f>IFERROR(VLOOKUP(C12,BDD_INGREDIENTES!$B:$C,2,FALSE),0)</f>
        <v>0</v>
      </c>
      <c r="F12" s="11">
        <f t="shared" si="0"/>
        <v>0</v>
      </c>
      <c r="G12" s="43"/>
    </row>
    <row r="13" spans="1:7" ht="14" x14ac:dyDescent="0.3">
      <c r="A13" s="28"/>
      <c r="C13" s="67" t="s">
        <v>110</v>
      </c>
      <c r="D13" s="9"/>
      <c r="E13" s="19"/>
      <c r="F13" s="11"/>
      <c r="G13" s="43"/>
    </row>
    <row r="14" spans="1:7" ht="14" x14ac:dyDescent="0.3">
      <c r="A14" s="28"/>
      <c r="C14" s="21" t="s">
        <v>135</v>
      </c>
      <c r="D14" s="18">
        <v>5000</v>
      </c>
      <c r="E14" s="19">
        <v>22.86</v>
      </c>
      <c r="F14" s="11">
        <f t="shared" si="0"/>
        <v>114.3</v>
      </c>
      <c r="G14" s="43"/>
    </row>
    <row r="15" spans="1:7" x14ac:dyDescent="0.25">
      <c r="A15" s="28"/>
      <c r="C15" s="17" t="s">
        <v>44</v>
      </c>
      <c r="D15" s="18">
        <v>1850</v>
      </c>
      <c r="E15" s="19">
        <f>IFERROR(VLOOKUP(C15,BDD_INGREDIENTES!$B:$C,2,FALSE),0)</f>
        <v>1.4599999999999999E-3</v>
      </c>
      <c r="F15" s="11">
        <f t="shared" si="0"/>
        <v>2.7009999999999998E-3</v>
      </c>
      <c r="G15" s="43"/>
    </row>
    <row r="16" spans="1:7" x14ac:dyDescent="0.25">
      <c r="A16" s="28"/>
      <c r="C16" s="17" t="s">
        <v>136</v>
      </c>
      <c r="D16" s="18">
        <v>3600</v>
      </c>
      <c r="E16" s="19">
        <v>29.99</v>
      </c>
      <c r="F16" s="11">
        <f t="shared" si="0"/>
        <v>107.964</v>
      </c>
      <c r="G16" s="43"/>
    </row>
    <row r="17" spans="1:7" x14ac:dyDescent="0.25">
      <c r="A17" s="28"/>
      <c r="C17" s="17"/>
      <c r="D17" s="18"/>
      <c r="E17" s="19"/>
      <c r="F17" s="20"/>
      <c r="G17" s="43"/>
    </row>
    <row r="18" spans="1:7" ht="15" x14ac:dyDescent="0.3">
      <c r="A18" s="28"/>
      <c r="C18" s="12" t="s">
        <v>8</v>
      </c>
      <c r="D18" s="13">
        <f>SUM(D8:D17)</f>
        <v>12800</v>
      </c>
      <c r="E18" s="14"/>
      <c r="F18" s="15">
        <f>SUM(F8:F17)</f>
        <v>230.60820100000001</v>
      </c>
      <c r="G18" s="43"/>
    </row>
    <row r="19" spans="1:7" x14ac:dyDescent="0.25">
      <c r="A19" s="28"/>
      <c r="E19" s="46"/>
      <c r="F19" s="47"/>
      <c r="G19" s="43"/>
    </row>
    <row r="20" spans="1:7" x14ac:dyDescent="0.25">
      <c r="A20" s="28"/>
      <c r="E20" s="46"/>
      <c r="F20" s="47"/>
      <c r="G20" s="43"/>
    </row>
    <row r="21" spans="1:7" ht="14.4" customHeight="1" x14ac:dyDescent="0.3">
      <c r="A21" s="28"/>
      <c r="B21" s="44" t="s">
        <v>9</v>
      </c>
      <c r="C21" s="44"/>
      <c r="D21" s="44"/>
      <c r="E21" s="48"/>
      <c r="F21" s="49"/>
      <c r="G21" s="43"/>
    </row>
    <row r="22" spans="1:7" ht="14" x14ac:dyDescent="0.3">
      <c r="A22" s="28"/>
      <c r="C22" s="44"/>
      <c r="D22" s="45" t="s">
        <v>5</v>
      </c>
      <c r="E22" s="16" t="s">
        <v>6</v>
      </c>
      <c r="F22" s="49" t="s">
        <v>7</v>
      </c>
      <c r="G22" s="43"/>
    </row>
    <row r="23" spans="1:7" s="52" customFormat="1" ht="14" x14ac:dyDescent="0.3">
      <c r="A23" s="30"/>
      <c r="C23" s="23"/>
      <c r="D23" s="76"/>
      <c r="E23" s="19">
        <f>IFERROR(VLOOKUP(C23,BDD_INGREDIENTES!$B:$C,2,FALSE),0)</f>
        <v>0</v>
      </c>
      <c r="F23" s="11">
        <f t="shared" ref="F23" si="1">E23*(D23/1000)</f>
        <v>0</v>
      </c>
      <c r="G23" s="75"/>
    </row>
    <row r="24" spans="1:7" x14ac:dyDescent="0.25">
      <c r="A24" s="28"/>
      <c r="C24" s="8"/>
      <c r="D24" s="9"/>
      <c r="E24" s="19">
        <f>IFERROR(VLOOKUP(C24,BDD_INGREDIENTES!$B:$C,2,FALSE),0)</f>
        <v>0</v>
      </c>
      <c r="F24" s="11">
        <f t="shared" ref="F24:F28" si="2">E24*(D24/1000)</f>
        <v>0</v>
      </c>
      <c r="G24" s="43"/>
    </row>
    <row r="25" spans="1:7" x14ac:dyDescent="0.25">
      <c r="A25" s="28"/>
      <c r="C25" s="8"/>
      <c r="D25" s="9"/>
      <c r="E25" s="19">
        <f>IFERROR(VLOOKUP(C25,BDD_INGREDIENTES!$B:$C,2,FALSE),0)</f>
        <v>0</v>
      </c>
      <c r="F25" s="11">
        <f t="shared" si="2"/>
        <v>0</v>
      </c>
      <c r="G25" s="43"/>
    </row>
    <row r="26" spans="1:7" x14ac:dyDescent="0.25">
      <c r="A26" s="28"/>
      <c r="C26" s="8"/>
      <c r="D26" s="9"/>
      <c r="E26" s="19">
        <f>IFERROR(VLOOKUP(C26,BDD_INGREDIENTES!$B:$C,2,FALSE),0)</f>
        <v>0</v>
      </c>
      <c r="F26" s="11">
        <f t="shared" si="2"/>
        <v>0</v>
      </c>
      <c r="G26" s="43"/>
    </row>
    <row r="27" spans="1:7" x14ac:dyDescent="0.25">
      <c r="A27" s="28"/>
      <c r="C27" s="8"/>
      <c r="D27" s="9"/>
      <c r="E27" s="19">
        <f>IFERROR(VLOOKUP(C27,BDD_INGREDIENTES!$B:$C,2,FALSE),0)</f>
        <v>0</v>
      </c>
      <c r="F27" s="11">
        <f t="shared" si="2"/>
        <v>0</v>
      </c>
      <c r="G27" s="43"/>
    </row>
    <row r="28" spans="1:7" x14ac:dyDescent="0.25">
      <c r="A28" s="28"/>
      <c r="C28" s="8"/>
      <c r="D28" s="9"/>
      <c r="E28" s="19">
        <f>IFERROR(VLOOKUP(C28,BDD_INGREDIENTES!$B:$C,2,FALSE),0)</f>
        <v>0</v>
      </c>
      <c r="F28" s="11">
        <f t="shared" si="2"/>
        <v>0</v>
      </c>
      <c r="G28" s="43"/>
    </row>
    <row r="29" spans="1:7" ht="15" x14ac:dyDescent="0.3">
      <c r="A29" s="28"/>
      <c r="C29" s="12" t="s">
        <v>11</v>
      </c>
      <c r="D29" s="13">
        <f>SUM(D23:D28)</f>
        <v>0</v>
      </c>
      <c r="E29" s="14"/>
      <c r="F29" s="15">
        <f>SUM(F23:F28)</f>
        <v>0</v>
      </c>
      <c r="G29" s="43"/>
    </row>
    <row r="30" spans="1:7" x14ac:dyDescent="0.25">
      <c r="A30" s="28"/>
      <c r="E30" s="46"/>
      <c r="F30" s="47"/>
      <c r="G30" s="43"/>
    </row>
    <row r="31" spans="1:7" x14ac:dyDescent="0.25">
      <c r="A31" s="28"/>
      <c r="E31" s="46"/>
      <c r="F31" s="47"/>
      <c r="G31" s="43"/>
    </row>
    <row r="32" spans="1:7" ht="14" x14ac:dyDescent="0.3">
      <c r="A32" s="28"/>
      <c r="B32" s="44" t="s">
        <v>12</v>
      </c>
      <c r="C32" s="44"/>
      <c r="D32" s="44"/>
      <c r="E32" s="48"/>
      <c r="F32" s="49"/>
      <c r="G32" s="43"/>
    </row>
    <row r="33" spans="1:7" ht="14" x14ac:dyDescent="0.3">
      <c r="A33" s="28"/>
      <c r="C33" s="22"/>
      <c r="D33" s="3" t="s">
        <v>5</v>
      </c>
      <c r="E33" s="16" t="s">
        <v>6</v>
      </c>
      <c r="F33" s="16" t="s">
        <v>7</v>
      </c>
      <c r="G33" s="43"/>
    </row>
    <row r="34" spans="1:7" ht="14" x14ac:dyDescent="0.3">
      <c r="A34" s="28"/>
      <c r="C34" s="23" t="s">
        <v>107</v>
      </c>
      <c r="D34" s="9">
        <v>1000</v>
      </c>
      <c r="E34" s="19">
        <v>42.62</v>
      </c>
      <c r="F34" s="11">
        <f t="shared" ref="F34:F39" si="3">E34*(D34/1000)</f>
        <v>42.62</v>
      </c>
      <c r="G34" s="43"/>
    </row>
    <row r="35" spans="1:7" ht="14" x14ac:dyDescent="0.3">
      <c r="A35" s="28"/>
      <c r="C35" s="23" t="s">
        <v>81</v>
      </c>
      <c r="D35" s="9">
        <v>1000</v>
      </c>
      <c r="E35" s="19">
        <v>40.79</v>
      </c>
      <c r="F35" s="11">
        <f t="shared" si="3"/>
        <v>40.79</v>
      </c>
      <c r="G35" s="43"/>
    </row>
    <row r="36" spans="1:7" ht="14" x14ac:dyDescent="0.3">
      <c r="A36" s="28"/>
      <c r="C36" s="23" t="s">
        <v>137</v>
      </c>
      <c r="D36" s="9">
        <v>1000</v>
      </c>
      <c r="E36" s="19">
        <v>36.869999999999997</v>
      </c>
      <c r="F36" s="11">
        <f t="shared" si="3"/>
        <v>36.869999999999997</v>
      </c>
      <c r="G36" s="43"/>
    </row>
    <row r="37" spans="1:7" ht="14" x14ac:dyDescent="0.3">
      <c r="A37" s="28"/>
      <c r="C37" s="21" t="s">
        <v>92</v>
      </c>
      <c r="D37" s="9">
        <v>1000</v>
      </c>
      <c r="E37" s="19">
        <v>49.9</v>
      </c>
      <c r="F37" s="11">
        <f t="shared" si="3"/>
        <v>49.9</v>
      </c>
      <c r="G37" s="43"/>
    </row>
    <row r="38" spans="1:7" x14ac:dyDescent="0.25">
      <c r="A38" s="28"/>
      <c r="C38" s="17"/>
      <c r="D38" s="18"/>
      <c r="E38" s="19">
        <f>IFERROR(VLOOKUP(C38,BDD_INGREDIENTES!$B:$C,2,FALSE),0)</f>
        <v>0</v>
      </c>
      <c r="F38" s="11">
        <f t="shared" si="3"/>
        <v>0</v>
      </c>
      <c r="G38" s="43"/>
    </row>
    <row r="39" spans="1:7" ht="14" x14ac:dyDescent="0.3">
      <c r="A39" s="28"/>
      <c r="C39" s="21"/>
      <c r="D39" s="18"/>
      <c r="E39" s="19"/>
      <c r="F39" s="11">
        <f t="shared" si="3"/>
        <v>0</v>
      </c>
      <c r="G39" s="43"/>
    </row>
    <row r="40" spans="1:7" ht="15" x14ac:dyDescent="0.3">
      <c r="A40" s="28"/>
      <c r="C40" s="12" t="s">
        <v>13</v>
      </c>
      <c r="D40" s="13">
        <f>SUM(D34:D39)</f>
        <v>4000</v>
      </c>
      <c r="E40" s="14"/>
      <c r="F40" s="15">
        <f>SUM(F34:F39)</f>
        <v>170.18</v>
      </c>
      <c r="G40" s="43"/>
    </row>
    <row r="41" spans="1:7" ht="14" thickBot="1" x14ac:dyDescent="0.3">
      <c r="A41" s="28"/>
      <c r="G41" s="43"/>
    </row>
    <row r="42" spans="1:7" ht="17.5" x14ac:dyDescent="0.35">
      <c r="A42" s="28"/>
      <c r="B42" s="24" t="s">
        <v>18</v>
      </c>
      <c r="C42" s="25"/>
      <c r="D42" s="25"/>
      <c r="E42" s="26" t="s">
        <v>5</v>
      </c>
      <c r="F42" s="27" t="s">
        <v>14</v>
      </c>
      <c r="G42" s="43"/>
    </row>
    <row r="43" spans="1:7" x14ac:dyDescent="0.25">
      <c r="A43" s="28"/>
      <c r="B43" s="28" t="s">
        <v>24</v>
      </c>
      <c r="E43" s="50">
        <f>D18+D29+D40</f>
        <v>16800</v>
      </c>
      <c r="F43" s="29">
        <f>F40+F29+F18</f>
        <v>400.78820100000002</v>
      </c>
      <c r="G43" s="43"/>
    </row>
    <row r="44" spans="1:7" ht="14" x14ac:dyDescent="0.3">
      <c r="A44" s="28"/>
      <c r="B44" s="28" t="s">
        <v>36</v>
      </c>
      <c r="D44" s="51">
        <v>0</v>
      </c>
      <c r="E44" s="50">
        <f>+E43*(1-D44)</f>
        <v>16800</v>
      </c>
      <c r="F44" s="29">
        <f>F43</f>
        <v>400.78820100000002</v>
      </c>
      <c r="G44" s="43"/>
    </row>
    <row r="45" spans="1:7" ht="17.5" x14ac:dyDescent="0.35">
      <c r="A45" s="28"/>
      <c r="B45" s="30" t="s">
        <v>15</v>
      </c>
      <c r="E45" s="144">
        <v>200</v>
      </c>
      <c r="F45" s="145"/>
      <c r="G45" s="43"/>
    </row>
    <row r="46" spans="1:7" ht="17.5" x14ac:dyDescent="0.35">
      <c r="A46" s="28"/>
      <c r="B46" s="30" t="s">
        <v>19</v>
      </c>
      <c r="C46" s="52"/>
      <c r="E46" s="139">
        <f>ROUNDDOWN(E44/E45,0)</f>
        <v>84</v>
      </c>
      <c r="F46" s="140"/>
      <c r="G46" s="43"/>
    </row>
    <row r="47" spans="1:7" ht="17.5" x14ac:dyDescent="0.35">
      <c r="A47" s="28"/>
      <c r="B47" s="31" t="s">
        <v>20</v>
      </c>
      <c r="C47" s="53"/>
      <c r="D47" s="52"/>
      <c r="E47" s="137">
        <f>F44/E46</f>
        <v>4.7712881071428574</v>
      </c>
      <c r="F47" s="138"/>
      <c r="G47" s="43"/>
    </row>
    <row r="48" spans="1:7" x14ac:dyDescent="0.25">
      <c r="A48" s="28"/>
      <c r="B48" s="32" t="s">
        <v>21</v>
      </c>
      <c r="C48" s="54"/>
      <c r="D48" s="55"/>
      <c r="E48" s="135">
        <f>E47/(E45/1000)</f>
        <v>23.856440535714285</v>
      </c>
      <c r="F48" s="136"/>
      <c r="G48" s="43"/>
    </row>
    <row r="49" spans="1:9" ht="17.5" x14ac:dyDescent="0.35">
      <c r="A49" s="28"/>
      <c r="B49" s="33" t="s">
        <v>16</v>
      </c>
      <c r="C49" s="56"/>
      <c r="E49" s="133">
        <v>1</v>
      </c>
      <c r="F49" s="134"/>
      <c r="G49" s="43"/>
    </row>
    <row r="50" spans="1:9" ht="18" thickBot="1" x14ac:dyDescent="0.4">
      <c r="A50" s="28"/>
      <c r="B50" s="34" t="s">
        <v>17</v>
      </c>
      <c r="C50" s="35"/>
      <c r="D50" s="36"/>
      <c r="E50" s="131">
        <f>(E47*(1+E49))</f>
        <v>9.5425762142857149</v>
      </c>
      <c r="F50" s="132"/>
      <c r="G50" s="43"/>
    </row>
    <row r="51" spans="1:9" x14ac:dyDescent="0.25">
      <c r="A51" s="28"/>
      <c r="G51" s="43"/>
    </row>
    <row r="52" spans="1:9" x14ac:dyDescent="0.25">
      <c r="A52" s="28"/>
      <c r="G52" s="43"/>
    </row>
    <row r="53" spans="1:9" ht="19.5" x14ac:dyDescent="0.35">
      <c r="A53" s="28"/>
      <c r="B53" s="57" t="s">
        <v>25</v>
      </c>
      <c r="C53" s="58"/>
      <c r="D53" s="58"/>
      <c r="E53" s="58"/>
      <c r="F53" s="58"/>
      <c r="G53" s="43"/>
    </row>
    <row r="54" spans="1:9" x14ac:dyDescent="0.25">
      <c r="A54" s="28"/>
      <c r="G54" s="43"/>
    </row>
    <row r="55" spans="1:9" ht="16" x14ac:dyDescent="0.25">
      <c r="A55" s="28"/>
      <c r="B55" s="59" t="s">
        <v>26</v>
      </c>
      <c r="C55" s="37"/>
      <c r="D55" s="37"/>
      <c r="E55" s="37"/>
      <c r="F55" s="37"/>
      <c r="G55" s="60"/>
      <c r="H55" s="37"/>
    </row>
    <row r="56" spans="1:9" ht="125.5" customHeight="1" x14ac:dyDescent="0.25">
      <c r="A56" s="28"/>
      <c r="B56" s="129" t="s">
        <v>192</v>
      </c>
      <c r="C56" s="129"/>
      <c r="D56" s="129"/>
      <c r="E56" s="129"/>
      <c r="F56" s="129"/>
      <c r="G56" s="61"/>
      <c r="H56" s="38"/>
    </row>
    <row r="57" spans="1:9" x14ac:dyDescent="0.25">
      <c r="A57" s="28"/>
      <c r="G57" s="43"/>
    </row>
    <row r="58" spans="1:9" ht="16" x14ac:dyDescent="0.25">
      <c r="A58" s="28"/>
      <c r="B58" s="59" t="s">
        <v>27</v>
      </c>
      <c r="C58" s="37"/>
      <c r="D58" s="37"/>
      <c r="E58" s="37"/>
      <c r="F58" s="37"/>
      <c r="G58" s="60"/>
      <c r="H58" s="37"/>
      <c r="I58" s="37"/>
    </row>
    <row r="59" spans="1:9" ht="78.650000000000006" customHeight="1" x14ac:dyDescent="0.25">
      <c r="A59" s="28"/>
      <c r="B59" s="129"/>
      <c r="C59" s="129"/>
      <c r="D59" s="129"/>
      <c r="E59" s="129"/>
      <c r="F59" s="129"/>
      <c r="G59" s="65"/>
      <c r="H59" s="66"/>
      <c r="I59" s="66"/>
    </row>
    <row r="60" spans="1:9" x14ac:dyDescent="0.25">
      <c r="A60" s="28"/>
      <c r="G60" s="43"/>
    </row>
    <row r="61" spans="1:9" ht="16" x14ac:dyDescent="0.25">
      <c r="A61" s="28"/>
      <c r="B61" s="59" t="s">
        <v>41</v>
      </c>
      <c r="C61" s="37"/>
      <c r="D61" s="37"/>
      <c r="E61" s="37"/>
      <c r="F61" s="37"/>
      <c r="G61" s="60"/>
      <c r="H61" s="37"/>
      <c r="I61" s="37"/>
    </row>
    <row r="62" spans="1:9" ht="78.650000000000006" customHeight="1" x14ac:dyDescent="0.25">
      <c r="A62" s="28"/>
      <c r="B62" s="129" t="s">
        <v>193</v>
      </c>
      <c r="C62" s="129"/>
      <c r="D62" s="129"/>
      <c r="E62" s="129"/>
      <c r="F62" s="129"/>
      <c r="G62" s="65"/>
      <c r="H62" s="66"/>
      <c r="I62" s="66"/>
    </row>
    <row r="63" spans="1:9" ht="14" thickBot="1" x14ac:dyDescent="0.3">
      <c r="A63" s="62"/>
      <c r="B63" s="63"/>
      <c r="C63" s="63"/>
      <c r="D63" s="63"/>
      <c r="E63" s="63"/>
      <c r="F63" s="63"/>
      <c r="G63" s="64"/>
    </row>
    <row r="132" spans="2:6" ht="14.5" x14ac:dyDescent="0.35">
      <c r="B132"/>
      <c r="C132"/>
      <c r="D132"/>
      <c r="E132"/>
      <c r="F132"/>
    </row>
    <row r="133" spans="2:6" ht="14.5" x14ac:dyDescent="0.35">
      <c r="B133"/>
      <c r="C133"/>
      <c r="D133"/>
      <c r="E133"/>
      <c r="F133"/>
    </row>
    <row r="134" spans="2:6" ht="14.5" x14ac:dyDescent="0.35">
      <c r="B134"/>
      <c r="C134"/>
      <c r="D134"/>
      <c r="E134"/>
      <c r="F134"/>
    </row>
    <row r="135" spans="2:6" ht="14.5" x14ac:dyDescent="0.35">
      <c r="B135"/>
      <c r="C135"/>
      <c r="D135"/>
      <c r="E135"/>
      <c r="F135"/>
    </row>
    <row r="136" spans="2:6" ht="14.5" x14ac:dyDescent="0.35">
      <c r="B136"/>
      <c r="C136"/>
      <c r="D136"/>
      <c r="E136"/>
      <c r="F136"/>
    </row>
    <row r="137" spans="2:6" ht="14.5" x14ac:dyDescent="0.35">
      <c r="B137"/>
      <c r="C137"/>
      <c r="D137"/>
      <c r="E137"/>
      <c r="F137"/>
    </row>
    <row r="138" spans="2:6" ht="14.5" x14ac:dyDescent="0.35">
      <c r="B138"/>
      <c r="C138"/>
      <c r="D138"/>
      <c r="E138"/>
      <c r="F138"/>
    </row>
    <row r="139" spans="2:6" ht="14.5" x14ac:dyDescent="0.35">
      <c r="B139"/>
      <c r="C139"/>
      <c r="D139"/>
      <c r="E139"/>
      <c r="F139"/>
    </row>
    <row r="140" spans="2:6" ht="14.5" x14ac:dyDescent="0.35">
      <c r="B140"/>
      <c r="C140"/>
      <c r="D140"/>
      <c r="E140"/>
      <c r="F140"/>
    </row>
    <row r="141" spans="2:6" ht="14.5" x14ac:dyDescent="0.35">
      <c r="B141"/>
      <c r="C141"/>
      <c r="D141"/>
      <c r="E141"/>
      <c r="F141"/>
    </row>
  </sheetData>
  <mergeCells count="10">
    <mergeCell ref="E49:F49"/>
    <mergeCell ref="E50:F50"/>
    <mergeCell ref="B56:F56"/>
    <mergeCell ref="B59:F59"/>
    <mergeCell ref="B62:F62"/>
    <mergeCell ref="C2:D2"/>
    <mergeCell ref="E45:F45"/>
    <mergeCell ref="E46:F46"/>
    <mergeCell ref="E47:F47"/>
    <mergeCell ref="E48:F48"/>
  </mergeCells>
  <pageMargins left="0.25" right="0.25" top="0.75" bottom="0.75" header="0.3" footer="0.3"/>
  <pageSetup paperSize="9" scale="60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09A5D-7A89-403F-8B23-265DF08877E9}">
  <sheetPr>
    <tabColor rgb="FF541C00"/>
    <pageSetUpPr fitToPage="1"/>
  </sheetPr>
  <dimension ref="A1:I141"/>
  <sheetViews>
    <sheetView showGridLines="0" topLeftCell="D1" zoomScale="88" zoomScaleNormal="88" workbookViewId="0">
      <selection activeCell="F71" sqref="F71"/>
    </sheetView>
  </sheetViews>
  <sheetFormatPr defaultColWidth="0" defaultRowHeight="13.5" x14ac:dyDescent="0.25"/>
  <cols>
    <col min="1" max="1" width="2.08984375" style="2" customWidth="1"/>
    <col min="2" max="2" width="1.81640625" style="2" customWidth="1"/>
    <col min="3" max="3" width="52.90625" style="2" customWidth="1"/>
    <col min="4" max="6" width="16.08984375" style="2" customWidth="1"/>
    <col min="7" max="7" width="2.08984375" style="2" customWidth="1"/>
    <col min="8" max="8" width="8.90625" style="2" customWidth="1"/>
    <col min="9" max="9" width="0" style="2" hidden="1" customWidth="1"/>
    <col min="10" max="16384" width="8.90625" style="2" hidden="1"/>
  </cols>
  <sheetData>
    <row r="1" spans="1:7" ht="14.5" x14ac:dyDescent="0.35">
      <c r="A1" s="39"/>
      <c r="B1" s="25"/>
      <c r="C1" s="40"/>
      <c r="D1" s="25"/>
      <c r="E1" s="25"/>
      <c r="F1" s="25"/>
      <c r="G1" s="41"/>
    </row>
    <row r="2" spans="1:7" ht="54" customHeight="1" x14ac:dyDescent="0.25">
      <c r="A2" s="28"/>
      <c r="C2" s="147" t="s">
        <v>78</v>
      </c>
      <c r="D2" s="147"/>
      <c r="E2" s="42"/>
      <c r="G2" s="43"/>
    </row>
    <row r="3" spans="1:7" x14ac:dyDescent="0.25">
      <c r="A3" s="28"/>
      <c r="G3" s="43"/>
    </row>
    <row r="4" spans="1:7" ht="0.65" customHeight="1" x14ac:dyDescent="0.25">
      <c r="A4" s="28"/>
      <c r="G4" s="43"/>
    </row>
    <row r="5" spans="1:7" x14ac:dyDescent="0.25">
      <c r="A5" s="28"/>
      <c r="G5" s="43"/>
    </row>
    <row r="6" spans="1:7" ht="14.4" customHeight="1" x14ac:dyDescent="0.3">
      <c r="A6" s="28"/>
      <c r="B6" s="44" t="s">
        <v>139</v>
      </c>
      <c r="C6" s="44"/>
      <c r="D6" s="44"/>
      <c r="E6" s="44"/>
      <c r="F6" s="44"/>
      <c r="G6" s="43"/>
    </row>
    <row r="7" spans="1:7" ht="14" x14ac:dyDescent="0.3">
      <c r="A7" s="28"/>
      <c r="C7" s="44"/>
      <c r="D7" s="45" t="s">
        <v>5</v>
      </c>
      <c r="E7" s="3" t="s">
        <v>6</v>
      </c>
      <c r="F7" s="45" t="s">
        <v>7</v>
      </c>
      <c r="G7" s="43"/>
    </row>
    <row r="8" spans="1:7" ht="14" x14ac:dyDescent="0.3">
      <c r="A8" s="28"/>
      <c r="C8" s="4" t="s">
        <v>138</v>
      </c>
      <c r="D8" s="100">
        <v>400</v>
      </c>
      <c r="E8" s="101">
        <v>45.2</v>
      </c>
      <c r="F8" s="102">
        <f>E8*(D8/1000)</f>
        <v>18.080000000000002</v>
      </c>
      <c r="G8" s="43"/>
    </row>
    <row r="9" spans="1:7" x14ac:dyDescent="0.25">
      <c r="A9" s="28"/>
      <c r="C9" s="85" t="s">
        <v>196</v>
      </c>
      <c r="D9" s="103">
        <v>90</v>
      </c>
      <c r="E9" s="19">
        <v>45</v>
      </c>
      <c r="F9" s="104">
        <f t="shared" ref="F9:F13" si="0">E9*(D9/1000)</f>
        <v>4.05</v>
      </c>
      <c r="G9" s="43"/>
    </row>
    <row r="10" spans="1:7" x14ac:dyDescent="0.25">
      <c r="A10" s="28"/>
      <c r="C10" s="8" t="s">
        <v>101</v>
      </c>
      <c r="D10" s="9">
        <v>80</v>
      </c>
      <c r="E10" s="19">
        <f>IFERROR(VLOOKUP(C10,BDD_INGREDIENTES!$B:$C,2,FALSE),0)</f>
        <v>3.59</v>
      </c>
      <c r="F10" s="11">
        <f t="shared" si="0"/>
        <v>0.28720000000000001</v>
      </c>
      <c r="G10" s="43"/>
    </row>
    <row r="11" spans="1:7" ht="14" x14ac:dyDescent="0.3">
      <c r="A11" s="28"/>
      <c r="C11" s="23" t="s">
        <v>31</v>
      </c>
      <c r="D11" s="9">
        <v>250</v>
      </c>
      <c r="E11" s="19">
        <v>18.190000000000001</v>
      </c>
      <c r="F11" s="11">
        <f t="shared" si="0"/>
        <v>4.5475000000000003</v>
      </c>
      <c r="G11" s="43"/>
    </row>
    <row r="12" spans="1:7" ht="14" x14ac:dyDescent="0.3">
      <c r="A12" s="28"/>
      <c r="C12" s="23" t="s">
        <v>106</v>
      </c>
      <c r="D12" s="9">
        <v>100</v>
      </c>
      <c r="E12" s="19">
        <v>54.55</v>
      </c>
      <c r="F12" s="11">
        <f t="shared" si="0"/>
        <v>5.4550000000000001</v>
      </c>
      <c r="G12" s="43"/>
    </row>
    <row r="13" spans="1:7" x14ac:dyDescent="0.25">
      <c r="A13" s="28"/>
      <c r="C13" s="8"/>
      <c r="D13" s="9"/>
      <c r="E13" s="19">
        <f>IFERROR(VLOOKUP(C13,BDD_INGREDIENTES!$B:$C,2,FALSE),0)</f>
        <v>0</v>
      </c>
      <c r="F13" s="11">
        <f t="shared" si="0"/>
        <v>0</v>
      </c>
      <c r="G13" s="43"/>
    </row>
    <row r="14" spans="1:7" x14ac:dyDescent="0.25">
      <c r="A14" s="28"/>
      <c r="C14" s="17"/>
      <c r="D14" s="18"/>
      <c r="E14" s="19"/>
      <c r="F14" s="20"/>
      <c r="G14" s="43"/>
    </row>
    <row r="15" spans="1:7" x14ac:dyDescent="0.25">
      <c r="A15" s="28"/>
      <c r="C15" s="17"/>
      <c r="D15" s="18"/>
      <c r="E15" s="19"/>
      <c r="F15" s="20"/>
      <c r="G15" s="43"/>
    </row>
    <row r="16" spans="1:7" x14ac:dyDescent="0.25">
      <c r="A16" s="28"/>
      <c r="C16" s="17"/>
      <c r="D16" s="18"/>
      <c r="E16" s="19"/>
      <c r="F16" s="20"/>
      <c r="G16" s="43"/>
    </row>
    <row r="17" spans="1:7" x14ac:dyDescent="0.25">
      <c r="A17" s="28"/>
      <c r="C17" s="17"/>
      <c r="D17" s="18"/>
      <c r="E17" s="19"/>
      <c r="F17" s="20"/>
      <c r="G17" s="43"/>
    </row>
    <row r="18" spans="1:7" ht="15" x14ac:dyDescent="0.3">
      <c r="A18" s="28"/>
      <c r="C18" s="12" t="s">
        <v>8</v>
      </c>
      <c r="D18" s="13">
        <f>SUM(D8:D17)</f>
        <v>920</v>
      </c>
      <c r="E18" s="14"/>
      <c r="F18" s="15">
        <f>SUM(F8:F17)</f>
        <v>32.419699999999999</v>
      </c>
      <c r="G18" s="43"/>
    </row>
    <row r="19" spans="1:7" x14ac:dyDescent="0.25">
      <c r="A19" s="28"/>
      <c r="E19" s="46"/>
      <c r="F19" s="47"/>
      <c r="G19" s="43"/>
    </row>
    <row r="20" spans="1:7" x14ac:dyDescent="0.25">
      <c r="A20" s="28"/>
      <c r="E20" s="46"/>
      <c r="F20" s="47"/>
      <c r="G20" s="43"/>
    </row>
    <row r="21" spans="1:7" ht="14.4" customHeight="1" x14ac:dyDescent="0.3">
      <c r="A21" s="28"/>
      <c r="B21" s="44" t="s">
        <v>140</v>
      </c>
      <c r="C21" s="44"/>
      <c r="D21" s="44"/>
      <c r="E21" s="48"/>
      <c r="F21" s="49"/>
      <c r="G21" s="43"/>
    </row>
    <row r="22" spans="1:7" ht="14" x14ac:dyDescent="0.3">
      <c r="A22" s="28"/>
      <c r="C22" s="44"/>
      <c r="D22" s="45" t="s">
        <v>5</v>
      </c>
      <c r="E22" s="16" t="s">
        <v>6</v>
      </c>
      <c r="F22" s="49" t="s">
        <v>7</v>
      </c>
      <c r="G22" s="43"/>
    </row>
    <row r="23" spans="1:7" s="52" customFormat="1" ht="14" x14ac:dyDescent="0.3">
      <c r="A23" s="30"/>
      <c r="C23" s="85" t="s">
        <v>99</v>
      </c>
      <c r="D23" s="103">
        <v>300</v>
      </c>
      <c r="E23" s="19">
        <f>IFERROR(VLOOKUP(C23,BDD_INGREDIENTES!$B:$C,2,FALSE),0)</f>
        <v>0</v>
      </c>
      <c r="F23" s="11">
        <f>E23*(D23/1000)</f>
        <v>0</v>
      </c>
      <c r="G23" s="75"/>
    </row>
    <row r="24" spans="1:7" x14ac:dyDescent="0.25">
      <c r="A24" s="28"/>
      <c r="C24" s="8" t="s">
        <v>141</v>
      </c>
      <c r="D24" s="9">
        <v>10</v>
      </c>
      <c r="E24" s="19">
        <v>34.9</v>
      </c>
      <c r="F24" s="11">
        <f t="shared" ref="F24:F28" si="1">E24*(D24/1000)</f>
        <v>0.34899999999999998</v>
      </c>
      <c r="G24" s="43"/>
    </row>
    <row r="25" spans="1:7" x14ac:dyDescent="0.25">
      <c r="A25" s="28"/>
      <c r="C25" s="8" t="s">
        <v>142</v>
      </c>
      <c r="D25" s="9">
        <v>10</v>
      </c>
      <c r="E25" s="19">
        <v>199.75</v>
      </c>
      <c r="F25" s="11">
        <f t="shared" si="1"/>
        <v>1.9975000000000001</v>
      </c>
      <c r="G25" s="43"/>
    </row>
    <row r="26" spans="1:7" x14ac:dyDescent="0.25">
      <c r="A26" s="28"/>
      <c r="C26" s="8"/>
      <c r="D26" s="9"/>
      <c r="E26" s="19">
        <f>IFERROR(VLOOKUP(C26,BDD_INGREDIENTES!$B:$C,2,FALSE),0)</f>
        <v>0</v>
      </c>
      <c r="F26" s="11">
        <f t="shared" si="1"/>
        <v>0</v>
      </c>
      <c r="G26" s="43"/>
    </row>
    <row r="27" spans="1:7" x14ac:dyDescent="0.25">
      <c r="A27" s="28"/>
      <c r="C27" s="8"/>
      <c r="D27" s="9"/>
      <c r="E27" s="19">
        <f>IFERROR(VLOOKUP(C27,BDD_INGREDIENTES!$B:$C,2,FALSE),0)</f>
        <v>0</v>
      </c>
      <c r="F27" s="11">
        <f t="shared" si="1"/>
        <v>0</v>
      </c>
      <c r="G27" s="43"/>
    </row>
    <row r="28" spans="1:7" x14ac:dyDescent="0.25">
      <c r="A28" s="28"/>
      <c r="C28" s="8"/>
      <c r="D28" s="9"/>
      <c r="E28" s="19">
        <f>IFERROR(VLOOKUP(C28,BDD_INGREDIENTES!$B:$C,2,FALSE),0)</f>
        <v>0</v>
      </c>
      <c r="F28" s="11">
        <f t="shared" si="1"/>
        <v>0</v>
      </c>
      <c r="G28" s="43"/>
    </row>
    <row r="29" spans="1:7" ht="15" x14ac:dyDescent="0.3">
      <c r="A29" s="28"/>
      <c r="C29" s="12" t="s">
        <v>11</v>
      </c>
      <c r="D29" s="13">
        <f>SUM(D23:D28)</f>
        <v>320</v>
      </c>
      <c r="E29" s="14"/>
      <c r="F29" s="15">
        <f>SUM(F23:F28)</f>
        <v>2.3464999999999998</v>
      </c>
      <c r="G29" s="43"/>
    </row>
    <row r="30" spans="1:7" x14ac:dyDescent="0.25">
      <c r="A30" s="28"/>
      <c r="E30" s="46"/>
      <c r="F30" s="47"/>
      <c r="G30" s="43"/>
    </row>
    <row r="31" spans="1:7" x14ac:dyDescent="0.25">
      <c r="A31" s="28"/>
      <c r="E31" s="46"/>
      <c r="F31" s="47"/>
      <c r="G31" s="43"/>
    </row>
    <row r="32" spans="1:7" ht="14" x14ac:dyDescent="0.3">
      <c r="A32" s="28"/>
      <c r="B32" s="44" t="s">
        <v>144</v>
      </c>
      <c r="C32" s="44"/>
      <c r="D32" s="44"/>
      <c r="E32" s="48"/>
      <c r="F32" s="49"/>
      <c r="G32" s="43"/>
    </row>
    <row r="33" spans="1:7" ht="14" x14ac:dyDescent="0.3">
      <c r="A33" s="28"/>
      <c r="C33" s="22"/>
      <c r="D33" s="3" t="s">
        <v>5</v>
      </c>
      <c r="E33" s="16" t="s">
        <v>6</v>
      </c>
      <c r="F33" s="16" t="s">
        <v>7</v>
      </c>
      <c r="G33" s="43"/>
    </row>
    <row r="34" spans="1:7" s="80" customFormat="1" ht="14" x14ac:dyDescent="0.3">
      <c r="A34" s="79"/>
      <c r="C34" s="85" t="s">
        <v>143</v>
      </c>
      <c r="D34" s="105">
        <v>50</v>
      </c>
      <c r="E34" s="19">
        <v>76.03</v>
      </c>
      <c r="F34" s="11">
        <f t="shared" ref="F34:F39" si="2">E34*(D34/1000)</f>
        <v>3.8015000000000003</v>
      </c>
      <c r="G34" s="81"/>
    </row>
    <row r="35" spans="1:7" x14ac:dyDescent="0.25">
      <c r="A35" s="28"/>
      <c r="C35" s="8" t="s">
        <v>122</v>
      </c>
      <c r="D35" s="9">
        <v>20</v>
      </c>
      <c r="E35" s="19">
        <f>48.99*2</f>
        <v>97.98</v>
      </c>
      <c r="F35" s="11">
        <f t="shared" si="2"/>
        <v>1.9596000000000002</v>
      </c>
      <c r="G35" s="43"/>
    </row>
    <row r="36" spans="1:7" ht="14" x14ac:dyDescent="0.3">
      <c r="A36" s="28"/>
      <c r="C36" s="23" t="s">
        <v>107</v>
      </c>
      <c r="D36" s="9">
        <v>100</v>
      </c>
      <c r="E36" s="19">
        <v>42.62</v>
      </c>
      <c r="F36" s="11">
        <f t="shared" si="2"/>
        <v>4.2619999999999996</v>
      </c>
      <c r="G36" s="43"/>
    </row>
    <row r="37" spans="1:7" x14ac:dyDescent="0.25">
      <c r="A37" s="28"/>
      <c r="C37" s="17"/>
      <c r="D37" s="18"/>
      <c r="E37" s="19"/>
      <c r="F37" s="11">
        <f t="shared" si="2"/>
        <v>0</v>
      </c>
      <c r="G37" s="43"/>
    </row>
    <row r="38" spans="1:7" x14ac:dyDescent="0.25">
      <c r="A38" s="28"/>
      <c r="C38" s="17"/>
      <c r="D38" s="18"/>
      <c r="E38" s="19"/>
      <c r="F38" s="11">
        <f t="shared" si="2"/>
        <v>0</v>
      </c>
      <c r="G38" s="43"/>
    </row>
    <row r="39" spans="1:7" ht="14" x14ac:dyDescent="0.3">
      <c r="A39" s="28"/>
      <c r="C39" s="21"/>
      <c r="D39" s="18"/>
      <c r="E39" s="19"/>
      <c r="F39" s="11">
        <f t="shared" si="2"/>
        <v>0</v>
      </c>
      <c r="G39" s="43"/>
    </row>
    <row r="40" spans="1:7" ht="15" x14ac:dyDescent="0.3">
      <c r="A40" s="28"/>
      <c r="C40" s="12" t="s">
        <v>13</v>
      </c>
      <c r="D40" s="13">
        <f>SUM(D34:D39)</f>
        <v>170</v>
      </c>
      <c r="E40" s="14"/>
      <c r="F40" s="15">
        <f>SUM(F34:F39)</f>
        <v>10.023099999999999</v>
      </c>
      <c r="G40" s="43"/>
    </row>
    <row r="41" spans="1:7" ht="14" thickBot="1" x14ac:dyDescent="0.3">
      <c r="A41" s="28"/>
      <c r="G41" s="43"/>
    </row>
    <row r="42" spans="1:7" ht="17.5" x14ac:dyDescent="0.35">
      <c r="A42" s="28"/>
      <c r="B42" s="24" t="s">
        <v>18</v>
      </c>
      <c r="C42" s="25"/>
      <c r="D42" s="25"/>
      <c r="E42" s="26" t="s">
        <v>5</v>
      </c>
      <c r="F42" s="27" t="s">
        <v>14</v>
      </c>
      <c r="G42" s="43"/>
    </row>
    <row r="43" spans="1:7" x14ac:dyDescent="0.25">
      <c r="A43" s="28"/>
      <c r="B43" s="28" t="s">
        <v>24</v>
      </c>
      <c r="E43" s="50">
        <f>D18+D29+D40</f>
        <v>1410</v>
      </c>
      <c r="F43" s="29">
        <f>F40+F29+F18</f>
        <v>44.789299999999997</v>
      </c>
      <c r="G43" s="43"/>
    </row>
    <row r="44" spans="1:7" ht="14" x14ac:dyDescent="0.3">
      <c r="A44" s="28"/>
      <c r="B44" s="28" t="s">
        <v>36</v>
      </c>
      <c r="D44" s="51">
        <v>0</v>
      </c>
      <c r="E44" s="50">
        <f>+E43*(1-D44)</f>
        <v>1410</v>
      </c>
      <c r="F44" s="29">
        <f>F43</f>
        <v>44.789299999999997</v>
      </c>
      <c r="G44" s="43"/>
    </row>
    <row r="45" spans="1:7" ht="17.5" x14ac:dyDescent="0.35">
      <c r="A45" s="28"/>
      <c r="B45" s="30" t="s">
        <v>15</v>
      </c>
      <c r="E45" s="144">
        <v>700</v>
      </c>
      <c r="F45" s="145"/>
      <c r="G45" s="43"/>
    </row>
    <row r="46" spans="1:7" ht="17.5" x14ac:dyDescent="0.35">
      <c r="A46" s="28"/>
      <c r="B46" s="30" t="s">
        <v>19</v>
      </c>
      <c r="C46" s="52"/>
      <c r="E46" s="139">
        <f>ROUNDDOWN(E44/E45,0)</f>
        <v>2</v>
      </c>
      <c r="F46" s="140"/>
      <c r="G46" s="43"/>
    </row>
    <row r="47" spans="1:7" ht="17.5" x14ac:dyDescent="0.35">
      <c r="A47" s="28"/>
      <c r="B47" s="31" t="s">
        <v>20</v>
      </c>
      <c r="C47" s="53"/>
      <c r="D47" s="52"/>
      <c r="E47" s="137">
        <f>F44/E46</f>
        <v>22.394649999999999</v>
      </c>
      <c r="F47" s="138"/>
      <c r="G47" s="43"/>
    </row>
    <row r="48" spans="1:7" x14ac:dyDescent="0.25">
      <c r="A48" s="28"/>
      <c r="B48" s="32" t="s">
        <v>21</v>
      </c>
      <c r="C48" s="54"/>
      <c r="D48" s="55"/>
      <c r="E48" s="135">
        <f>E47/(E45/1000)</f>
        <v>31.992357142857141</v>
      </c>
      <c r="F48" s="136"/>
      <c r="G48" s="43"/>
    </row>
    <row r="49" spans="1:9" ht="17.5" x14ac:dyDescent="0.35">
      <c r="A49" s="28"/>
      <c r="B49" s="33" t="s">
        <v>16</v>
      </c>
      <c r="C49" s="56"/>
      <c r="E49" s="133">
        <v>1</v>
      </c>
      <c r="F49" s="134"/>
      <c r="G49" s="43"/>
    </row>
    <row r="50" spans="1:9" ht="18" thickBot="1" x14ac:dyDescent="0.4">
      <c r="A50" s="28"/>
      <c r="B50" s="34" t="s">
        <v>17</v>
      </c>
      <c r="C50" s="35"/>
      <c r="D50" s="36"/>
      <c r="E50" s="131">
        <f>(E47*(1+E49))</f>
        <v>44.789299999999997</v>
      </c>
      <c r="F50" s="132"/>
      <c r="G50" s="43"/>
    </row>
    <row r="51" spans="1:9" x14ac:dyDescent="0.25">
      <c r="A51" s="28"/>
      <c r="G51" s="43"/>
    </row>
    <row r="52" spans="1:9" x14ac:dyDescent="0.25">
      <c r="A52" s="28"/>
      <c r="G52" s="43"/>
    </row>
    <row r="53" spans="1:9" ht="19.5" x14ac:dyDescent="0.35">
      <c r="A53" s="28"/>
      <c r="B53" s="57" t="s">
        <v>25</v>
      </c>
      <c r="C53" s="58"/>
      <c r="D53" s="58"/>
      <c r="E53" s="58"/>
      <c r="F53" s="58"/>
      <c r="G53" s="43"/>
    </row>
    <row r="54" spans="1:9" x14ac:dyDescent="0.25">
      <c r="A54" s="28"/>
      <c r="G54" s="43"/>
    </row>
    <row r="55" spans="1:9" ht="16" x14ac:dyDescent="0.25">
      <c r="A55" s="28"/>
      <c r="B55" s="59" t="s">
        <v>194</v>
      </c>
      <c r="C55" s="37"/>
      <c r="D55" s="37"/>
      <c r="E55" s="37"/>
      <c r="F55" s="37"/>
      <c r="G55" s="60"/>
      <c r="H55" s="37"/>
    </row>
    <row r="56" spans="1:9" ht="78.650000000000006" customHeight="1" x14ac:dyDescent="0.25">
      <c r="A56" s="28"/>
      <c r="B56" s="129" t="s">
        <v>195</v>
      </c>
      <c r="C56" s="129"/>
      <c r="D56" s="129"/>
      <c r="E56" s="129"/>
      <c r="F56" s="129"/>
      <c r="G56" s="61"/>
      <c r="H56" s="38"/>
    </row>
    <row r="57" spans="1:9" x14ac:dyDescent="0.25">
      <c r="A57" s="28"/>
      <c r="G57" s="43"/>
    </row>
    <row r="58" spans="1:9" ht="16" x14ac:dyDescent="0.25">
      <c r="A58" s="28"/>
      <c r="B58" s="59" t="s">
        <v>27</v>
      </c>
      <c r="C58" s="37"/>
      <c r="D58" s="37"/>
      <c r="E58" s="37"/>
      <c r="F58" s="37"/>
      <c r="G58" s="60"/>
      <c r="H58" s="37"/>
      <c r="I58" s="37"/>
    </row>
    <row r="59" spans="1:9" ht="78.650000000000006" customHeight="1" x14ac:dyDescent="0.25">
      <c r="A59" s="28"/>
      <c r="B59" s="129" t="s">
        <v>197</v>
      </c>
      <c r="C59" s="129"/>
      <c r="D59" s="129"/>
      <c r="E59" s="129"/>
      <c r="F59" s="129"/>
      <c r="G59" s="65"/>
      <c r="H59" s="66"/>
      <c r="I59" s="66"/>
    </row>
    <row r="60" spans="1:9" x14ac:dyDescent="0.25">
      <c r="A60" s="28"/>
      <c r="G60" s="43"/>
    </row>
    <row r="61" spans="1:9" ht="16" x14ac:dyDescent="0.25">
      <c r="A61" s="28"/>
      <c r="B61" s="59" t="s">
        <v>41</v>
      </c>
      <c r="C61" s="37"/>
      <c r="D61" s="37"/>
      <c r="E61" s="37"/>
      <c r="F61" s="37"/>
      <c r="G61" s="60"/>
      <c r="H61" s="37"/>
      <c r="I61" s="37"/>
    </row>
    <row r="62" spans="1:9" ht="93" customHeight="1" x14ac:dyDescent="0.25">
      <c r="A62" s="28"/>
      <c r="B62" s="129" t="s">
        <v>198</v>
      </c>
      <c r="C62" s="129"/>
      <c r="D62" s="129"/>
      <c r="E62" s="129"/>
      <c r="F62" s="129"/>
      <c r="G62" s="65"/>
      <c r="H62" s="66"/>
      <c r="I62" s="66"/>
    </row>
    <row r="63" spans="1:9" ht="14" thickBot="1" x14ac:dyDescent="0.3">
      <c r="A63" s="62"/>
      <c r="B63" s="63"/>
      <c r="C63" s="63"/>
      <c r="D63" s="63"/>
      <c r="E63" s="63"/>
      <c r="F63" s="63"/>
      <c r="G63" s="64"/>
    </row>
    <row r="132" spans="2:6" ht="14.5" x14ac:dyDescent="0.35">
      <c r="B132"/>
      <c r="C132"/>
      <c r="D132"/>
      <c r="E132"/>
      <c r="F132"/>
    </row>
    <row r="133" spans="2:6" ht="14.5" x14ac:dyDescent="0.35">
      <c r="B133"/>
      <c r="C133"/>
      <c r="D133"/>
      <c r="E133"/>
      <c r="F133"/>
    </row>
    <row r="134" spans="2:6" ht="14.5" x14ac:dyDescent="0.35">
      <c r="B134"/>
      <c r="C134"/>
      <c r="D134"/>
      <c r="E134"/>
      <c r="F134"/>
    </row>
    <row r="135" spans="2:6" ht="14.5" x14ac:dyDescent="0.35">
      <c r="B135"/>
      <c r="C135"/>
      <c r="D135"/>
      <c r="E135"/>
      <c r="F135"/>
    </row>
    <row r="136" spans="2:6" ht="14.5" x14ac:dyDescent="0.35">
      <c r="B136"/>
      <c r="C136"/>
      <c r="D136"/>
      <c r="E136"/>
      <c r="F136"/>
    </row>
    <row r="137" spans="2:6" ht="14.5" x14ac:dyDescent="0.35">
      <c r="B137"/>
      <c r="C137"/>
      <c r="D137"/>
      <c r="E137"/>
      <c r="F137"/>
    </row>
    <row r="138" spans="2:6" ht="14.5" x14ac:dyDescent="0.35">
      <c r="B138"/>
      <c r="C138"/>
      <c r="D138"/>
      <c r="E138"/>
      <c r="F138"/>
    </row>
    <row r="139" spans="2:6" ht="14.5" x14ac:dyDescent="0.35">
      <c r="B139"/>
      <c r="C139"/>
      <c r="D139"/>
      <c r="E139"/>
      <c r="F139"/>
    </row>
    <row r="140" spans="2:6" ht="14.5" x14ac:dyDescent="0.35">
      <c r="B140"/>
      <c r="C140"/>
      <c r="D140"/>
      <c r="E140"/>
      <c r="F140"/>
    </row>
    <row r="141" spans="2:6" ht="14.5" x14ac:dyDescent="0.35">
      <c r="B141"/>
      <c r="C141"/>
      <c r="D141"/>
      <c r="E141"/>
      <c r="F141"/>
    </row>
  </sheetData>
  <mergeCells count="10">
    <mergeCell ref="E49:F49"/>
    <mergeCell ref="E50:F50"/>
    <mergeCell ref="B56:F56"/>
    <mergeCell ref="B59:F59"/>
    <mergeCell ref="B62:F62"/>
    <mergeCell ref="C2:D2"/>
    <mergeCell ref="E45:F45"/>
    <mergeCell ref="E46:F46"/>
    <mergeCell ref="E47:F47"/>
    <mergeCell ref="E48:F48"/>
  </mergeCells>
  <pageMargins left="0.25" right="0.25" top="0.75" bottom="0.75" header="0.3" footer="0.3"/>
  <pageSetup paperSize="9" scale="60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F470A-6DCF-44B5-9170-09DC2A4D8317}">
  <sheetPr>
    <tabColor rgb="FF541C00"/>
    <pageSetUpPr fitToPage="1"/>
  </sheetPr>
  <dimension ref="A1:I147"/>
  <sheetViews>
    <sheetView showGridLines="0" topLeftCell="A37" zoomScale="70" zoomScaleNormal="70" workbookViewId="0">
      <selection activeCell="C70" sqref="C70"/>
    </sheetView>
  </sheetViews>
  <sheetFormatPr defaultColWidth="0" defaultRowHeight="13.5" x14ac:dyDescent="0.25"/>
  <cols>
    <col min="1" max="1" width="2.08984375" style="2" customWidth="1"/>
    <col min="2" max="2" width="1.81640625" style="2" customWidth="1"/>
    <col min="3" max="3" width="52.90625" style="2" customWidth="1"/>
    <col min="4" max="6" width="16.08984375" style="2" customWidth="1"/>
    <col min="7" max="7" width="2.08984375" style="2" customWidth="1"/>
    <col min="8" max="8" width="8.90625" style="2" customWidth="1"/>
    <col min="9" max="9" width="0" style="2" hidden="1" customWidth="1"/>
    <col min="10" max="16384" width="8.90625" style="2" hidden="1"/>
  </cols>
  <sheetData>
    <row r="1" spans="1:7" ht="14.5" x14ac:dyDescent="0.35">
      <c r="A1" s="39"/>
      <c r="B1" s="25"/>
      <c r="C1" s="40"/>
      <c r="D1" s="25"/>
      <c r="E1" s="25"/>
      <c r="F1" s="25"/>
      <c r="G1" s="41"/>
    </row>
    <row r="2" spans="1:7" ht="54" customHeight="1" x14ac:dyDescent="0.25">
      <c r="A2" s="28"/>
      <c r="C2" s="147" t="s">
        <v>145</v>
      </c>
      <c r="D2" s="147"/>
      <c r="E2" s="42"/>
      <c r="G2" s="43"/>
    </row>
    <row r="3" spans="1:7" x14ac:dyDescent="0.25">
      <c r="A3" s="28"/>
      <c r="G3" s="43"/>
    </row>
    <row r="4" spans="1:7" ht="0.65" customHeight="1" x14ac:dyDescent="0.25">
      <c r="A4" s="28"/>
      <c r="G4" s="43"/>
    </row>
    <row r="5" spans="1:7" x14ac:dyDescent="0.25">
      <c r="A5" s="28"/>
      <c r="G5" s="43"/>
    </row>
    <row r="6" spans="1:7" ht="14.4" customHeight="1" x14ac:dyDescent="0.3">
      <c r="A6" s="28"/>
      <c r="B6" s="44" t="s">
        <v>147</v>
      </c>
      <c r="C6" s="44"/>
      <c r="D6" s="44"/>
      <c r="E6" s="44"/>
      <c r="F6" s="44"/>
      <c r="G6" s="43"/>
    </row>
    <row r="7" spans="1:7" ht="14" x14ac:dyDescent="0.3">
      <c r="A7" s="28"/>
      <c r="C7" s="44"/>
      <c r="D7" s="45" t="s">
        <v>5</v>
      </c>
      <c r="E7" s="3" t="s">
        <v>6</v>
      </c>
      <c r="F7" s="45" t="s">
        <v>7</v>
      </c>
      <c r="G7" s="43"/>
    </row>
    <row r="8" spans="1:7" ht="14" x14ac:dyDescent="0.3">
      <c r="A8" s="28"/>
      <c r="C8" s="109" t="s">
        <v>148</v>
      </c>
      <c r="D8" s="107"/>
      <c r="E8" s="101"/>
      <c r="F8" s="108"/>
      <c r="G8" s="43"/>
    </row>
    <row r="9" spans="1:7" ht="14" x14ac:dyDescent="0.3">
      <c r="A9" s="28"/>
      <c r="C9" s="23" t="s">
        <v>146</v>
      </c>
      <c r="D9" s="103">
        <v>1000</v>
      </c>
      <c r="E9" s="101">
        <v>20.93</v>
      </c>
      <c r="F9" s="104">
        <f>E9*(D9/1000)</f>
        <v>20.93</v>
      </c>
      <c r="G9" s="43"/>
    </row>
    <row r="10" spans="1:7" x14ac:dyDescent="0.25">
      <c r="A10" s="28"/>
      <c r="C10" s="85" t="s">
        <v>64</v>
      </c>
      <c r="D10" s="103">
        <v>300</v>
      </c>
      <c r="E10" s="19">
        <f>IFERROR(VLOOKUP(C10,BDD_INGREDIENTES!$B:$C,2,FALSE),0)</f>
        <v>59.5</v>
      </c>
      <c r="F10" s="104">
        <f t="shared" ref="F10:F11" si="0">E10*(D10/1000)</f>
        <v>17.849999999999998</v>
      </c>
      <c r="G10" s="43"/>
    </row>
    <row r="11" spans="1:7" x14ac:dyDescent="0.25">
      <c r="A11" s="28"/>
      <c r="C11" s="8" t="s">
        <v>99</v>
      </c>
      <c r="D11" s="9">
        <v>300</v>
      </c>
      <c r="E11" s="19">
        <f>IFERROR(VLOOKUP(C11,BDD_INGREDIENTES!$B:$C,2,FALSE),0)</f>
        <v>0</v>
      </c>
      <c r="F11" s="11">
        <f t="shared" si="0"/>
        <v>0</v>
      </c>
      <c r="G11" s="43"/>
    </row>
    <row r="12" spans="1:7" x14ac:dyDescent="0.25">
      <c r="A12" s="28"/>
      <c r="C12" s="17"/>
      <c r="D12" s="18"/>
      <c r="E12" s="19"/>
      <c r="F12" s="20"/>
      <c r="G12" s="43"/>
    </row>
    <row r="13" spans="1:7" ht="14" x14ac:dyDescent="0.3">
      <c r="A13" s="28"/>
      <c r="C13" s="98" t="s">
        <v>149</v>
      </c>
      <c r="D13" s="18"/>
      <c r="E13" s="19"/>
      <c r="F13" s="20"/>
      <c r="G13" s="43"/>
    </row>
    <row r="14" spans="1:7" x14ac:dyDescent="0.25">
      <c r="A14" s="28"/>
      <c r="C14" s="17" t="s">
        <v>48</v>
      </c>
      <c r="D14" s="18">
        <v>200</v>
      </c>
      <c r="E14" s="19">
        <f>IFERROR(VLOOKUP(C14,BDD_INGREDIENTES!$B:$C,2,FALSE),0)</f>
        <v>5.89</v>
      </c>
      <c r="F14" s="11">
        <f t="shared" ref="F14:F18" si="1">E14*(D14/1000)</f>
        <v>1.1779999999999999</v>
      </c>
      <c r="G14" s="43"/>
    </row>
    <row r="15" spans="1:7" x14ac:dyDescent="0.25">
      <c r="A15" s="28"/>
      <c r="C15" s="17" t="s">
        <v>64</v>
      </c>
      <c r="D15" s="18">
        <v>80</v>
      </c>
      <c r="E15" s="19">
        <f>IFERROR(VLOOKUP(C15,BDD_INGREDIENTES!$B:$C,2,FALSE),0)</f>
        <v>59.5</v>
      </c>
      <c r="F15" s="11">
        <f t="shared" si="1"/>
        <v>4.76</v>
      </c>
      <c r="G15" s="43"/>
    </row>
    <row r="16" spans="1:7" x14ac:dyDescent="0.25">
      <c r="A16" s="28"/>
      <c r="C16" s="17" t="s">
        <v>122</v>
      </c>
      <c r="D16" s="18">
        <v>10</v>
      </c>
      <c r="E16" s="19">
        <f>48.99*2</f>
        <v>97.98</v>
      </c>
      <c r="F16" s="11">
        <f t="shared" si="1"/>
        <v>0.97980000000000012</v>
      </c>
      <c r="G16" s="43"/>
    </row>
    <row r="17" spans="1:7" x14ac:dyDescent="0.25">
      <c r="A17" s="28"/>
      <c r="C17" s="17" t="s">
        <v>28</v>
      </c>
      <c r="D17" s="18">
        <v>50</v>
      </c>
      <c r="E17" s="19">
        <f>IFERROR(VLOOKUP(C17,BDD_INGREDIENTES!$B:$C,2,FALSE),0)</f>
        <v>13.77</v>
      </c>
      <c r="F17" s="11">
        <f t="shared" si="1"/>
        <v>0.6885</v>
      </c>
      <c r="G17" s="43"/>
    </row>
    <row r="18" spans="1:7" x14ac:dyDescent="0.25">
      <c r="A18" s="28"/>
      <c r="C18" s="17" t="s">
        <v>101</v>
      </c>
      <c r="D18" s="18">
        <v>30</v>
      </c>
      <c r="E18" s="19">
        <f>IFERROR(VLOOKUP(C18,BDD_INGREDIENTES!$B:$C,2,FALSE),0)</f>
        <v>3.59</v>
      </c>
      <c r="F18" s="11">
        <f t="shared" si="1"/>
        <v>0.10769999999999999</v>
      </c>
      <c r="G18" s="43"/>
    </row>
    <row r="19" spans="1:7" x14ac:dyDescent="0.25">
      <c r="A19" s="28"/>
      <c r="C19" s="17"/>
      <c r="D19" s="18"/>
      <c r="E19" s="19"/>
      <c r="F19" s="20"/>
      <c r="G19" s="43"/>
    </row>
    <row r="20" spans="1:7" x14ac:dyDescent="0.25">
      <c r="A20" s="28"/>
      <c r="C20" s="17"/>
      <c r="D20" s="18"/>
      <c r="E20" s="19"/>
      <c r="F20" s="20"/>
      <c r="G20" s="43"/>
    </row>
    <row r="21" spans="1:7" ht="15" x14ac:dyDescent="0.3">
      <c r="A21" s="28"/>
      <c r="C21" s="12" t="s">
        <v>8</v>
      </c>
      <c r="D21" s="13">
        <f>SUM(D8:D20)</f>
        <v>1970</v>
      </c>
      <c r="E21" s="14"/>
      <c r="F21" s="15">
        <f>SUM(F8:F20)</f>
        <v>46.493999999999993</v>
      </c>
      <c r="G21" s="43"/>
    </row>
    <row r="22" spans="1:7" x14ac:dyDescent="0.25">
      <c r="A22" s="28"/>
      <c r="E22" s="46"/>
      <c r="F22" s="47"/>
      <c r="G22" s="43"/>
    </row>
    <row r="23" spans="1:7" x14ac:dyDescent="0.25">
      <c r="A23" s="28"/>
      <c r="E23" s="46"/>
      <c r="F23" s="47"/>
      <c r="G23" s="43"/>
    </row>
    <row r="24" spans="1:7" ht="14.4" customHeight="1" x14ac:dyDescent="0.3">
      <c r="A24" s="28"/>
      <c r="B24" s="44" t="s">
        <v>9</v>
      </c>
      <c r="C24" s="44"/>
      <c r="D24" s="44"/>
      <c r="E24" s="48"/>
      <c r="F24" s="49"/>
      <c r="G24" s="43"/>
    </row>
    <row r="25" spans="1:7" ht="14" x14ac:dyDescent="0.3">
      <c r="A25" s="28"/>
      <c r="C25" s="110"/>
      <c r="D25" s="111" t="s">
        <v>5</v>
      </c>
      <c r="E25" s="112" t="s">
        <v>6</v>
      </c>
      <c r="F25" s="112" t="s">
        <v>7</v>
      </c>
      <c r="G25" s="43"/>
    </row>
    <row r="26" spans="1:7" s="52" customFormat="1" ht="14" x14ac:dyDescent="0.3">
      <c r="A26" s="30"/>
      <c r="C26" s="87" t="s">
        <v>137</v>
      </c>
      <c r="D26" s="106">
        <v>250</v>
      </c>
      <c r="E26" s="74">
        <v>36.869999999999997</v>
      </c>
      <c r="F26" s="92">
        <f t="shared" ref="F26" si="2">E26*(D26/1000)</f>
        <v>9.2174999999999994</v>
      </c>
      <c r="G26" s="75"/>
    </row>
    <row r="27" spans="1:7" ht="14" x14ac:dyDescent="0.3">
      <c r="A27" s="28"/>
      <c r="C27" s="23" t="s">
        <v>61</v>
      </c>
      <c r="D27" s="9">
        <v>80</v>
      </c>
      <c r="E27" s="19">
        <v>47.83</v>
      </c>
      <c r="F27" s="11">
        <f t="shared" ref="F27:F30" si="3">E27*(D27/1000)</f>
        <v>3.8264</v>
      </c>
      <c r="G27" s="43"/>
    </row>
    <row r="28" spans="1:7" x14ac:dyDescent="0.25">
      <c r="A28" s="28"/>
      <c r="C28" s="8" t="s">
        <v>150</v>
      </c>
      <c r="D28" s="9">
        <v>40</v>
      </c>
      <c r="E28" s="19">
        <v>230</v>
      </c>
      <c r="F28" s="11">
        <f t="shared" si="3"/>
        <v>9.2000000000000011</v>
      </c>
      <c r="G28" s="43"/>
    </row>
    <row r="29" spans="1:7" x14ac:dyDescent="0.25">
      <c r="A29" s="28"/>
      <c r="C29" s="8"/>
      <c r="D29" s="9"/>
      <c r="E29" s="19">
        <f>IFERROR(VLOOKUP(C29,BDD_INGREDIENTES!$B:$C,2,FALSE),0)</f>
        <v>0</v>
      </c>
      <c r="F29" s="11">
        <f t="shared" si="3"/>
        <v>0</v>
      </c>
      <c r="G29" s="43"/>
    </row>
    <row r="30" spans="1:7" x14ac:dyDescent="0.25">
      <c r="A30" s="28"/>
      <c r="C30" s="17"/>
      <c r="D30" s="18"/>
      <c r="E30" s="19">
        <f>IFERROR(VLOOKUP(C30,BDD_INGREDIENTES!$B:$C,2,FALSE),0)</f>
        <v>0</v>
      </c>
      <c r="F30" s="11">
        <f t="shared" si="3"/>
        <v>0</v>
      </c>
      <c r="G30" s="43"/>
    </row>
    <row r="31" spans="1:7" x14ac:dyDescent="0.25">
      <c r="A31" s="28"/>
      <c r="C31" s="17"/>
      <c r="D31" s="18"/>
      <c r="E31" s="19">
        <f>IFERROR(VLOOKUP(C31,BDD_INGREDIENTES!$B:$C,2,FALSE),0)</f>
        <v>0</v>
      </c>
      <c r="F31" s="11">
        <f t="shared" ref="F31:F32" si="4">E31*(D31/1000)</f>
        <v>0</v>
      </c>
      <c r="G31" s="43"/>
    </row>
    <row r="32" spans="1:7" x14ac:dyDescent="0.25">
      <c r="A32" s="28"/>
      <c r="C32" s="17"/>
      <c r="D32" s="18"/>
      <c r="E32" s="19">
        <f>IFERROR(VLOOKUP(C32,BDD_INGREDIENTES!$B:$C,2,FALSE),0)</f>
        <v>0</v>
      </c>
      <c r="F32" s="11">
        <f t="shared" si="4"/>
        <v>0</v>
      </c>
      <c r="G32" s="43"/>
    </row>
    <row r="33" spans="1:7" ht="15" x14ac:dyDescent="0.3">
      <c r="A33" s="28"/>
      <c r="C33" s="12" t="s">
        <v>11</v>
      </c>
      <c r="D33" s="13">
        <f>SUM(D26:D32)</f>
        <v>370</v>
      </c>
      <c r="E33" s="14"/>
      <c r="F33" s="15">
        <f>SUM(F26:F32)</f>
        <v>22.2439</v>
      </c>
      <c r="G33" s="43"/>
    </row>
    <row r="34" spans="1:7" x14ac:dyDescent="0.25">
      <c r="A34" s="28"/>
      <c r="E34" s="46"/>
      <c r="F34" s="47"/>
      <c r="G34" s="43"/>
    </row>
    <row r="35" spans="1:7" x14ac:dyDescent="0.25">
      <c r="A35" s="28"/>
      <c r="E35" s="46"/>
      <c r="F35" s="47"/>
      <c r="G35" s="43"/>
    </row>
    <row r="36" spans="1:7" ht="14" x14ac:dyDescent="0.3">
      <c r="A36" s="28"/>
      <c r="B36" s="44" t="s">
        <v>12</v>
      </c>
      <c r="C36" s="44"/>
      <c r="D36" s="44"/>
      <c r="E36" s="48"/>
      <c r="F36" s="49"/>
      <c r="G36" s="43"/>
    </row>
    <row r="37" spans="1:7" ht="14" x14ac:dyDescent="0.3">
      <c r="A37" s="28"/>
      <c r="C37" s="22"/>
      <c r="D37" s="3" t="s">
        <v>5</v>
      </c>
      <c r="E37" s="16" t="s">
        <v>6</v>
      </c>
      <c r="F37" s="16" t="s">
        <v>7</v>
      </c>
      <c r="G37" s="43"/>
    </row>
    <row r="38" spans="1:7" s="80" customFormat="1" ht="14" x14ac:dyDescent="0.3">
      <c r="A38" s="79"/>
      <c r="C38" s="86" t="s">
        <v>152</v>
      </c>
      <c r="D38" s="76"/>
      <c r="E38" s="77"/>
      <c r="F38" s="78"/>
      <c r="G38" s="81"/>
    </row>
    <row r="39" spans="1:7" s="80" customFormat="1" ht="14" x14ac:dyDescent="0.3">
      <c r="A39" s="79"/>
      <c r="C39" s="23" t="s">
        <v>107</v>
      </c>
      <c r="D39" s="103">
        <v>250</v>
      </c>
      <c r="E39" s="19">
        <v>42.62</v>
      </c>
      <c r="F39" s="104">
        <f t="shared" ref="F39" si="5">E39*(D39/1000)</f>
        <v>10.654999999999999</v>
      </c>
      <c r="G39" s="81"/>
    </row>
    <row r="40" spans="1:7" ht="14" x14ac:dyDescent="0.3">
      <c r="A40" s="28"/>
      <c r="C40" s="23" t="s">
        <v>151</v>
      </c>
      <c r="D40" s="9">
        <v>80</v>
      </c>
      <c r="E40" s="19">
        <v>56.35</v>
      </c>
      <c r="F40" s="11">
        <f t="shared" ref="F40:F45" si="6">E40*(D40/1000)</f>
        <v>4.508</v>
      </c>
      <c r="G40" s="43"/>
    </row>
    <row r="41" spans="1:7" x14ac:dyDescent="0.25">
      <c r="A41" s="28"/>
      <c r="C41" s="8" t="s">
        <v>85</v>
      </c>
      <c r="D41" s="9">
        <v>40</v>
      </c>
      <c r="E41" s="19">
        <v>32.369999999999997</v>
      </c>
      <c r="F41" s="11">
        <f t="shared" si="6"/>
        <v>1.2948</v>
      </c>
      <c r="G41" s="43"/>
    </row>
    <row r="42" spans="1:7" x14ac:dyDescent="0.25">
      <c r="A42" s="28"/>
      <c r="C42" s="17"/>
      <c r="D42" s="18"/>
      <c r="E42" s="19"/>
      <c r="F42" s="11"/>
      <c r="G42" s="43"/>
    </row>
    <row r="43" spans="1:7" ht="14" x14ac:dyDescent="0.3">
      <c r="A43" s="28"/>
      <c r="C43" s="98" t="s">
        <v>153</v>
      </c>
      <c r="D43" s="18"/>
      <c r="E43" s="19"/>
      <c r="F43" s="11"/>
      <c r="G43" s="43"/>
    </row>
    <row r="44" spans="1:7" ht="14" x14ac:dyDescent="0.3">
      <c r="A44" s="28"/>
      <c r="C44" s="21" t="s">
        <v>107</v>
      </c>
      <c r="D44" s="18">
        <v>200</v>
      </c>
      <c r="E44" s="19">
        <v>42.62</v>
      </c>
      <c r="F44" s="11">
        <f t="shared" si="6"/>
        <v>8.5239999999999991</v>
      </c>
      <c r="G44" s="43"/>
    </row>
    <row r="45" spans="1:7" ht="14" x14ac:dyDescent="0.3">
      <c r="A45" s="28"/>
      <c r="C45" s="21"/>
      <c r="D45" s="18"/>
      <c r="E45" s="19"/>
      <c r="F45" s="11">
        <f t="shared" si="6"/>
        <v>0</v>
      </c>
      <c r="G45" s="43"/>
    </row>
    <row r="46" spans="1:7" ht="15" x14ac:dyDescent="0.3">
      <c r="A46" s="28"/>
      <c r="C46" s="12" t="s">
        <v>13</v>
      </c>
      <c r="D46" s="13">
        <f>SUM(D38:D45)</f>
        <v>570</v>
      </c>
      <c r="E46" s="14"/>
      <c r="F46" s="15">
        <f>SUM(F38:F45)</f>
        <v>24.9818</v>
      </c>
      <c r="G46" s="43"/>
    </row>
    <row r="47" spans="1:7" ht="14" thickBot="1" x14ac:dyDescent="0.3">
      <c r="A47" s="28"/>
      <c r="G47" s="43"/>
    </row>
    <row r="48" spans="1:7" ht="17.5" x14ac:dyDescent="0.35">
      <c r="A48" s="28"/>
      <c r="B48" s="24" t="s">
        <v>18</v>
      </c>
      <c r="C48" s="25"/>
      <c r="D48" s="25"/>
      <c r="E48" s="26" t="s">
        <v>5</v>
      </c>
      <c r="F48" s="27" t="s">
        <v>14</v>
      </c>
      <c r="G48" s="43"/>
    </row>
    <row r="49" spans="1:9" x14ac:dyDescent="0.25">
      <c r="A49" s="28"/>
      <c r="B49" s="28" t="s">
        <v>24</v>
      </c>
      <c r="E49" s="50">
        <f>D21+D33+D46</f>
        <v>2910</v>
      </c>
      <c r="F49" s="29">
        <f>F46+F33+F21</f>
        <v>93.719699999999989</v>
      </c>
      <c r="G49" s="43"/>
    </row>
    <row r="50" spans="1:9" ht="14" x14ac:dyDescent="0.3">
      <c r="A50" s="28"/>
      <c r="B50" s="28" t="s">
        <v>36</v>
      </c>
      <c r="D50" s="51">
        <v>0</v>
      </c>
      <c r="E50" s="50">
        <f>+E49*(1-D50)</f>
        <v>2910</v>
      </c>
      <c r="F50" s="29">
        <f>F49</f>
        <v>93.719699999999989</v>
      </c>
      <c r="G50" s="43"/>
    </row>
    <row r="51" spans="1:9" ht="17.5" x14ac:dyDescent="0.35">
      <c r="A51" s="28"/>
      <c r="B51" s="30" t="s">
        <v>15</v>
      </c>
      <c r="E51" s="144">
        <v>750</v>
      </c>
      <c r="F51" s="145"/>
      <c r="G51" s="43"/>
    </row>
    <row r="52" spans="1:9" ht="17.5" x14ac:dyDescent="0.35">
      <c r="A52" s="28"/>
      <c r="B52" s="30" t="s">
        <v>19</v>
      </c>
      <c r="C52" s="52"/>
      <c r="E52" s="139">
        <f>ROUNDDOWN(E50/E51,0)</f>
        <v>3</v>
      </c>
      <c r="F52" s="140"/>
      <c r="G52" s="43"/>
    </row>
    <row r="53" spans="1:9" ht="17.5" x14ac:dyDescent="0.35">
      <c r="A53" s="28"/>
      <c r="B53" s="31" t="s">
        <v>20</v>
      </c>
      <c r="C53" s="53"/>
      <c r="D53" s="52"/>
      <c r="E53" s="137">
        <f>F50/E52</f>
        <v>31.239899999999995</v>
      </c>
      <c r="F53" s="138"/>
      <c r="G53" s="43"/>
    </row>
    <row r="54" spans="1:9" x14ac:dyDescent="0.25">
      <c r="A54" s="28"/>
      <c r="B54" s="32" t="s">
        <v>21</v>
      </c>
      <c r="C54" s="54"/>
      <c r="D54" s="55"/>
      <c r="E54" s="135">
        <f>E53/(E51/1000)</f>
        <v>41.653199999999991</v>
      </c>
      <c r="F54" s="136"/>
      <c r="G54" s="43"/>
    </row>
    <row r="55" spans="1:9" ht="17.5" x14ac:dyDescent="0.35">
      <c r="A55" s="28"/>
      <c r="B55" s="33" t="s">
        <v>16</v>
      </c>
      <c r="C55" s="56"/>
      <c r="E55" s="133">
        <v>1</v>
      </c>
      <c r="F55" s="134"/>
      <c r="G55" s="43"/>
    </row>
    <row r="56" spans="1:9" ht="18" thickBot="1" x14ac:dyDescent="0.4">
      <c r="A56" s="28"/>
      <c r="B56" s="34" t="s">
        <v>17</v>
      </c>
      <c r="C56" s="35"/>
      <c r="D56" s="36"/>
      <c r="E56" s="131">
        <f>(E53*(1+E55))</f>
        <v>62.47979999999999</v>
      </c>
      <c r="F56" s="132"/>
      <c r="G56" s="43"/>
    </row>
    <row r="57" spans="1:9" x14ac:dyDescent="0.25">
      <c r="A57" s="28"/>
      <c r="G57" s="43"/>
    </row>
    <row r="58" spans="1:9" x14ac:dyDescent="0.25">
      <c r="A58" s="28"/>
      <c r="G58" s="43"/>
    </row>
    <row r="59" spans="1:9" ht="19.5" x14ac:dyDescent="0.35">
      <c r="A59" s="28"/>
      <c r="B59" s="57" t="s">
        <v>25</v>
      </c>
      <c r="C59" s="58"/>
      <c r="D59" s="58"/>
      <c r="E59" s="58"/>
      <c r="F59" s="58"/>
      <c r="G59" s="43"/>
    </row>
    <row r="60" spans="1:9" x14ac:dyDescent="0.25">
      <c r="A60" s="28"/>
      <c r="G60" s="43"/>
    </row>
    <row r="61" spans="1:9" ht="16" x14ac:dyDescent="0.25">
      <c r="A61" s="28"/>
      <c r="B61" s="59" t="s">
        <v>199</v>
      </c>
      <c r="C61" s="37"/>
      <c r="D61" s="37"/>
      <c r="E61" s="37"/>
      <c r="F61" s="37"/>
      <c r="G61" s="60"/>
      <c r="H61" s="37"/>
    </row>
    <row r="62" spans="1:9" ht="130" customHeight="1" x14ac:dyDescent="0.25">
      <c r="A62" s="28"/>
      <c r="B62" s="129" t="s">
        <v>200</v>
      </c>
      <c r="C62" s="129"/>
      <c r="D62" s="129"/>
      <c r="E62" s="129"/>
      <c r="F62" s="129"/>
      <c r="G62" s="61"/>
      <c r="H62" s="38"/>
    </row>
    <row r="63" spans="1:9" x14ac:dyDescent="0.25">
      <c r="A63" s="28"/>
      <c r="G63" s="43"/>
    </row>
    <row r="64" spans="1:9" ht="16" x14ac:dyDescent="0.25">
      <c r="A64" s="28"/>
      <c r="B64" s="59" t="s">
        <v>27</v>
      </c>
      <c r="C64" s="37"/>
      <c r="D64" s="37"/>
      <c r="E64" s="37"/>
      <c r="F64" s="37"/>
      <c r="G64" s="60"/>
      <c r="H64" s="37"/>
      <c r="I64" s="37"/>
    </row>
    <row r="65" spans="1:9" ht="78.650000000000006" customHeight="1" x14ac:dyDescent="0.25">
      <c r="A65" s="28"/>
      <c r="B65" s="129" t="s">
        <v>201</v>
      </c>
      <c r="C65" s="129"/>
      <c r="D65" s="129"/>
      <c r="E65" s="129"/>
      <c r="F65" s="129"/>
      <c r="G65" s="65"/>
      <c r="H65" s="66"/>
      <c r="I65" s="66"/>
    </row>
    <row r="66" spans="1:9" x14ac:dyDescent="0.25">
      <c r="A66" s="28"/>
      <c r="G66" s="43"/>
    </row>
    <row r="67" spans="1:9" ht="16" x14ac:dyDescent="0.25">
      <c r="A67" s="28"/>
      <c r="B67" s="59" t="s">
        <v>41</v>
      </c>
      <c r="C67" s="37"/>
      <c r="D67" s="37"/>
      <c r="E67" s="37"/>
      <c r="F67" s="37"/>
      <c r="G67" s="60"/>
      <c r="H67" s="37"/>
      <c r="I67" s="37"/>
    </row>
    <row r="68" spans="1:9" ht="124" customHeight="1" x14ac:dyDescent="0.25">
      <c r="A68" s="28"/>
      <c r="B68" s="129" t="s">
        <v>202</v>
      </c>
      <c r="C68" s="129"/>
      <c r="D68" s="129"/>
      <c r="E68" s="129"/>
      <c r="F68" s="129"/>
      <c r="G68" s="65"/>
      <c r="H68" s="66"/>
      <c r="I68" s="66"/>
    </row>
    <row r="69" spans="1:9" ht="14" thickBot="1" x14ac:dyDescent="0.3">
      <c r="A69" s="62"/>
      <c r="B69" s="63"/>
      <c r="C69" s="63"/>
      <c r="D69" s="63"/>
      <c r="E69" s="63"/>
      <c r="F69" s="63"/>
      <c r="G69" s="64"/>
    </row>
    <row r="138" spans="2:6" ht="14.5" x14ac:dyDescent="0.35">
      <c r="B138"/>
      <c r="C138"/>
      <c r="D138"/>
      <c r="E138"/>
      <c r="F138"/>
    </row>
    <row r="139" spans="2:6" ht="14.5" x14ac:dyDescent="0.35">
      <c r="B139"/>
      <c r="C139"/>
      <c r="D139"/>
      <c r="E139"/>
      <c r="F139"/>
    </row>
    <row r="140" spans="2:6" ht="14.5" x14ac:dyDescent="0.35">
      <c r="B140"/>
      <c r="C140"/>
      <c r="D140"/>
      <c r="E140"/>
      <c r="F140"/>
    </row>
    <row r="141" spans="2:6" ht="14.5" x14ac:dyDescent="0.35">
      <c r="B141"/>
      <c r="C141"/>
      <c r="D141"/>
      <c r="E141"/>
      <c r="F141"/>
    </row>
    <row r="142" spans="2:6" ht="14.5" x14ac:dyDescent="0.35">
      <c r="B142"/>
      <c r="C142"/>
      <c r="D142"/>
      <c r="E142"/>
      <c r="F142"/>
    </row>
    <row r="143" spans="2:6" ht="14.5" x14ac:dyDescent="0.35">
      <c r="B143"/>
      <c r="C143"/>
      <c r="D143"/>
      <c r="E143"/>
      <c r="F143"/>
    </row>
    <row r="144" spans="2:6" ht="14.5" x14ac:dyDescent="0.35">
      <c r="B144"/>
      <c r="C144"/>
      <c r="D144"/>
      <c r="E144"/>
      <c r="F144"/>
    </row>
    <row r="145" spans="2:6" ht="14.5" x14ac:dyDescent="0.35">
      <c r="B145"/>
      <c r="C145"/>
      <c r="D145"/>
      <c r="E145"/>
      <c r="F145"/>
    </row>
    <row r="146" spans="2:6" ht="14.5" x14ac:dyDescent="0.35">
      <c r="B146"/>
      <c r="C146"/>
      <c r="D146"/>
      <c r="E146"/>
      <c r="F146"/>
    </row>
    <row r="147" spans="2:6" ht="14.5" x14ac:dyDescent="0.35">
      <c r="B147"/>
      <c r="C147"/>
      <c r="D147"/>
      <c r="E147"/>
      <c r="F147"/>
    </row>
  </sheetData>
  <mergeCells count="10">
    <mergeCell ref="E55:F55"/>
    <mergeCell ref="E56:F56"/>
    <mergeCell ref="B62:F62"/>
    <mergeCell ref="B65:F65"/>
    <mergeCell ref="B68:F68"/>
    <mergeCell ref="C2:D2"/>
    <mergeCell ref="E51:F51"/>
    <mergeCell ref="E52:F52"/>
    <mergeCell ref="E53:F53"/>
    <mergeCell ref="E54:F54"/>
  </mergeCells>
  <pageMargins left="0.25" right="0.25" top="0.75" bottom="0.75" header="0.3" footer="0.3"/>
  <pageSetup paperSize="9" scale="60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5F790-FD8D-4B6F-B68E-BAA1FB86EB83}">
  <sheetPr>
    <tabColor rgb="FF541C00"/>
    <pageSetUpPr fitToPage="1"/>
  </sheetPr>
  <dimension ref="A1:I141"/>
  <sheetViews>
    <sheetView showGridLines="0" topLeftCell="A59" zoomScale="70" zoomScaleNormal="70" workbookViewId="0">
      <selection activeCell="C75" sqref="C75"/>
    </sheetView>
  </sheetViews>
  <sheetFormatPr defaultColWidth="0" defaultRowHeight="13.5" x14ac:dyDescent="0.25"/>
  <cols>
    <col min="1" max="1" width="2.08984375" style="2" customWidth="1"/>
    <col min="2" max="2" width="1.81640625" style="2" customWidth="1"/>
    <col min="3" max="3" width="52.90625" style="2" customWidth="1"/>
    <col min="4" max="6" width="16.08984375" style="2" customWidth="1"/>
    <col min="7" max="7" width="2.08984375" style="2" customWidth="1"/>
    <col min="8" max="8" width="8.90625" style="2" customWidth="1"/>
    <col min="9" max="9" width="0" style="2" hidden="1" customWidth="1"/>
    <col min="10" max="16384" width="8.90625" style="2" hidden="1"/>
  </cols>
  <sheetData>
    <row r="1" spans="1:7" ht="14.5" x14ac:dyDescent="0.35">
      <c r="A1" s="39"/>
      <c r="B1" s="25"/>
      <c r="C1" s="40"/>
      <c r="D1" s="25"/>
      <c r="E1" s="25"/>
      <c r="F1" s="25"/>
      <c r="G1" s="41"/>
    </row>
    <row r="2" spans="1:7" ht="54" customHeight="1" x14ac:dyDescent="0.25">
      <c r="A2" s="28"/>
      <c r="C2" s="148" t="s">
        <v>79</v>
      </c>
      <c r="D2" s="148"/>
      <c r="E2" s="42"/>
      <c r="G2" s="43"/>
    </row>
    <row r="3" spans="1:7" x14ac:dyDescent="0.25">
      <c r="A3" s="28"/>
      <c r="G3" s="43"/>
    </row>
    <row r="4" spans="1:7" ht="0.65" customHeight="1" x14ac:dyDescent="0.25">
      <c r="A4" s="28"/>
      <c r="G4" s="43"/>
    </row>
    <row r="5" spans="1:7" x14ac:dyDescent="0.25">
      <c r="A5" s="28"/>
      <c r="G5" s="43"/>
    </row>
    <row r="6" spans="1:7" ht="14.4" customHeight="1" x14ac:dyDescent="0.3">
      <c r="A6" s="28"/>
      <c r="B6" s="44" t="s">
        <v>4</v>
      </c>
      <c r="C6" s="44"/>
      <c r="D6" s="44"/>
      <c r="E6" s="44"/>
      <c r="F6" s="44"/>
      <c r="G6" s="43"/>
    </row>
    <row r="7" spans="1:7" ht="14" x14ac:dyDescent="0.3">
      <c r="A7" s="28"/>
      <c r="C7" s="44"/>
      <c r="D7" s="45" t="s">
        <v>5</v>
      </c>
      <c r="E7" s="3" t="s">
        <v>6</v>
      </c>
      <c r="F7" s="45" t="s">
        <v>7</v>
      </c>
      <c r="G7" s="43"/>
    </row>
    <row r="8" spans="1:7" ht="14" x14ac:dyDescent="0.3">
      <c r="A8" s="28"/>
      <c r="C8" s="4" t="s">
        <v>135</v>
      </c>
      <c r="D8" s="100">
        <v>2400</v>
      </c>
      <c r="E8" s="19">
        <v>22.86</v>
      </c>
      <c r="F8" s="102">
        <f>E8*(D8/1000)</f>
        <v>54.863999999999997</v>
      </c>
      <c r="G8" s="43"/>
    </row>
    <row r="9" spans="1:7" x14ac:dyDescent="0.25">
      <c r="A9" s="28"/>
      <c r="C9" s="85" t="s">
        <v>64</v>
      </c>
      <c r="D9" s="103">
        <v>720</v>
      </c>
      <c r="E9" s="19">
        <f>IFERROR(VLOOKUP(C9,BDD_INGREDIENTES!$B:$C,2,FALSE),0)</f>
        <v>59.5</v>
      </c>
      <c r="F9" s="104">
        <f t="shared" ref="F9:F13" si="0">E9*(D9/1000)</f>
        <v>42.839999999999996</v>
      </c>
      <c r="G9" s="43"/>
    </row>
    <row r="10" spans="1:7" x14ac:dyDescent="0.25">
      <c r="A10" s="28"/>
      <c r="C10" s="8" t="s">
        <v>114</v>
      </c>
      <c r="D10" s="9">
        <v>600</v>
      </c>
      <c r="E10" s="19">
        <f>7.89*2</f>
        <v>15.78</v>
      </c>
      <c r="F10" s="11">
        <f t="shared" si="0"/>
        <v>9.468</v>
      </c>
      <c r="G10" s="43"/>
    </row>
    <row r="11" spans="1:7" x14ac:dyDescent="0.25">
      <c r="A11" s="28"/>
      <c r="C11" s="8" t="s">
        <v>28</v>
      </c>
      <c r="D11" s="9">
        <v>400</v>
      </c>
      <c r="E11" s="19">
        <f>IFERROR(VLOOKUP(C11,BDD_INGREDIENTES!$B:$C,2,FALSE),0)</f>
        <v>13.77</v>
      </c>
      <c r="F11" s="11">
        <f t="shared" si="0"/>
        <v>5.508</v>
      </c>
      <c r="G11" s="43"/>
    </row>
    <row r="12" spans="1:7" x14ac:dyDescent="0.25">
      <c r="A12" s="28"/>
      <c r="C12" s="8" t="s">
        <v>154</v>
      </c>
      <c r="D12" s="9">
        <v>140</v>
      </c>
      <c r="E12" s="19">
        <v>35.9</v>
      </c>
      <c r="F12" s="11">
        <f t="shared" si="0"/>
        <v>5.0260000000000007</v>
      </c>
      <c r="G12" s="43"/>
    </row>
    <row r="13" spans="1:7" ht="14" x14ac:dyDescent="0.3">
      <c r="A13" s="28"/>
      <c r="C13" s="23" t="s">
        <v>107</v>
      </c>
      <c r="D13" s="9">
        <v>850</v>
      </c>
      <c r="E13" s="19">
        <v>42.62</v>
      </c>
      <c r="F13" s="11">
        <f t="shared" si="0"/>
        <v>36.226999999999997</v>
      </c>
      <c r="G13" s="43"/>
    </row>
    <row r="14" spans="1:7" x14ac:dyDescent="0.25">
      <c r="A14" s="28"/>
      <c r="C14" s="17"/>
      <c r="D14" s="18"/>
      <c r="E14" s="19"/>
      <c r="F14" s="20"/>
      <c r="G14" s="43"/>
    </row>
    <row r="15" spans="1:7" x14ac:dyDescent="0.25">
      <c r="A15" s="28"/>
      <c r="C15" s="17"/>
      <c r="D15" s="18"/>
      <c r="E15" s="19"/>
      <c r="F15" s="20"/>
      <c r="G15" s="43"/>
    </row>
    <row r="16" spans="1:7" x14ac:dyDescent="0.25">
      <c r="A16" s="28"/>
      <c r="C16" s="17"/>
      <c r="D16" s="18"/>
      <c r="E16" s="19"/>
      <c r="F16" s="20"/>
      <c r="G16" s="43"/>
    </row>
    <row r="17" spans="1:7" x14ac:dyDescent="0.25">
      <c r="A17" s="28"/>
      <c r="C17" s="17"/>
      <c r="D17" s="18"/>
      <c r="E17" s="19"/>
      <c r="F17" s="20"/>
      <c r="G17" s="43"/>
    </row>
    <row r="18" spans="1:7" ht="15" x14ac:dyDescent="0.3">
      <c r="A18" s="28"/>
      <c r="C18" s="12" t="s">
        <v>8</v>
      </c>
      <c r="D18" s="13">
        <f>SUM(D8:D17)</f>
        <v>5110</v>
      </c>
      <c r="E18" s="14"/>
      <c r="F18" s="15">
        <f>SUM(F8:F17)</f>
        <v>153.93299999999999</v>
      </c>
      <c r="G18" s="43"/>
    </row>
    <row r="19" spans="1:7" x14ac:dyDescent="0.25">
      <c r="A19" s="28"/>
      <c r="E19" s="46"/>
      <c r="F19" s="47"/>
      <c r="G19" s="43"/>
    </row>
    <row r="20" spans="1:7" x14ac:dyDescent="0.25">
      <c r="A20" s="28"/>
      <c r="E20" s="46"/>
      <c r="F20" s="47"/>
      <c r="G20" s="43"/>
    </row>
    <row r="21" spans="1:7" ht="14.4" customHeight="1" x14ac:dyDescent="0.3">
      <c r="A21" s="28"/>
      <c r="B21" s="44" t="s">
        <v>9</v>
      </c>
      <c r="C21" s="44"/>
      <c r="D21" s="44"/>
      <c r="E21" s="48"/>
      <c r="F21" s="49"/>
      <c r="G21" s="43"/>
    </row>
    <row r="22" spans="1:7" ht="14" x14ac:dyDescent="0.3">
      <c r="A22" s="28"/>
      <c r="C22" s="44"/>
      <c r="D22" s="45" t="s">
        <v>5</v>
      </c>
      <c r="E22" s="16" t="s">
        <v>6</v>
      </c>
      <c r="F22" s="49" t="s">
        <v>7</v>
      </c>
      <c r="G22" s="43"/>
    </row>
    <row r="23" spans="1:7" x14ac:dyDescent="0.25">
      <c r="A23" s="28"/>
      <c r="C23" s="8"/>
      <c r="D23" s="9"/>
      <c r="E23" s="19">
        <f>IFERROR(VLOOKUP(C23,BDD_INGREDIENTES!$B:$C,2,FALSE),0)</f>
        <v>0</v>
      </c>
      <c r="F23" s="11">
        <f t="shared" ref="F23:F30" si="1">E23*(D23/1000)</f>
        <v>0</v>
      </c>
      <c r="G23" s="43"/>
    </row>
    <row r="24" spans="1:7" x14ac:dyDescent="0.25">
      <c r="A24" s="28"/>
      <c r="C24" s="8"/>
      <c r="D24" s="9"/>
      <c r="E24" s="19">
        <f>IFERROR(VLOOKUP(C24,BDD_INGREDIENTES!$B:$C,2,FALSE),0)</f>
        <v>0</v>
      </c>
      <c r="F24" s="11">
        <f t="shared" si="1"/>
        <v>0</v>
      </c>
      <c r="G24" s="43"/>
    </row>
    <row r="25" spans="1:7" x14ac:dyDescent="0.25">
      <c r="A25" s="28"/>
      <c r="C25" s="8"/>
      <c r="D25" s="9"/>
      <c r="E25" s="19">
        <f>IFERROR(VLOOKUP(C25,BDD_INGREDIENTES!$B:$C,2,FALSE),0)</f>
        <v>0</v>
      </c>
      <c r="F25" s="11">
        <f t="shared" si="1"/>
        <v>0</v>
      </c>
      <c r="G25" s="43"/>
    </row>
    <row r="26" spans="1:7" x14ac:dyDescent="0.25">
      <c r="A26" s="28"/>
      <c r="C26" s="8"/>
      <c r="D26" s="9"/>
      <c r="E26" s="19">
        <f>IFERROR(VLOOKUP(C26,BDD_INGREDIENTES!$B:$C,2,FALSE),0)</f>
        <v>0</v>
      </c>
      <c r="F26" s="11">
        <f t="shared" si="1"/>
        <v>0</v>
      </c>
      <c r="G26" s="43"/>
    </row>
    <row r="27" spans="1:7" x14ac:dyDescent="0.25">
      <c r="A27" s="28"/>
      <c r="C27" s="8"/>
      <c r="D27" s="9"/>
      <c r="E27" s="19">
        <f>IFERROR(VLOOKUP(C27,BDD_INGREDIENTES!$B:$C,2,FALSE),0)</f>
        <v>0</v>
      </c>
      <c r="F27" s="11">
        <f t="shared" si="1"/>
        <v>0</v>
      </c>
      <c r="G27" s="43"/>
    </row>
    <row r="28" spans="1:7" x14ac:dyDescent="0.25">
      <c r="A28" s="28"/>
      <c r="C28" s="8"/>
      <c r="D28" s="9"/>
      <c r="E28" s="19">
        <f>IFERROR(VLOOKUP(C28,BDD_INGREDIENTES!$B:$C,2,FALSE),0)</f>
        <v>0</v>
      </c>
      <c r="F28" s="11">
        <f t="shared" si="1"/>
        <v>0</v>
      </c>
      <c r="G28" s="43"/>
    </row>
    <row r="29" spans="1:7" x14ac:dyDescent="0.25">
      <c r="A29" s="28"/>
      <c r="C29" s="17"/>
      <c r="D29" s="18"/>
      <c r="E29" s="19">
        <f>IFERROR(VLOOKUP(C29,BDD_INGREDIENTES!$B:$C,2,FALSE),0)</f>
        <v>0</v>
      </c>
      <c r="F29" s="11">
        <f t="shared" si="1"/>
        <v>0</v>
      </c>
      <c r="G29" s="43"/>
    </row>
    <row r="30" spans="1:7" x14ac:dyDescent="0.25">
      <c r="A30" s="28"/>
      <c r="C30" s="17"/>
      <c r="D30" s="18"/>
      <c r="E30" s="19">
        <f>IFERROR(VLOOKUP(C30,BDD_INGREDIENTES!$B:$C,2,FALSE),0)</f>
        <v>0</v>
      </c>
      <c r="F30" s="11">
        <f t="shared" si="1"/>
        <v>0</v>
      </c>
      <c r="G30" s="43"/>
    </row>
    <row r="31" spans="1:7" ht="15" x14ac:dyDescent="0.3">
      <c r="A31" s="28"/>
      <c r="C31" s="12" t="s">
        <v>11</v>
      </c>
      <c r="D31" s="13">
        <f>SUM(D23:D30)</f>
        <v>0</v>
      </c>
      <c r="E31" s="14"/>
      <c r="F31" s="15">
        <f>SUM(F23:F30)</f>
        <v>0</v>
      </c>
      <c r="G31" s="43"/>
    </row>
    <row r="32" spans="1:7" x14ac:dyDescent="0.25">
      <c r="A32" s="28"/>
      <c r="E32" s="46"/>
      <c r="F32" s="47"/>
      <c r="G32" s="43"/>
    </row>
    <row r="33" spans="1:7" x14ac:dyDescent="0.25">
      <c r="A33" s="28"/>
      <c r="E33" s="46"/>
      <c r="F33" s="47"/>
      <c r="G33" s="43"/>
    </row>
    <row r="34" spans="1:7" ht="14" x14ac:dyDescent="0.3">
      <c r="A34" s="28"/>
      <c r="B34" s="44" t="s">
        <v>12</v>
      </c>
      <c r="C34" s="44"/>
      <c r="D34" s="44"/>
      <c r="E34" s="48"/>
      <c r="F34" s="49"/>
      <c r="G34" s="43"/>
    </row>
    <row r="35" spans="1:7" ht="14" x14ac:dyDescent="0.3">
      <c r="A35" s="28"/>
      <c r="C35" s="22"/>
      <c r="D35" s="3" t="s">
        <v>5</v>
      </c>
      <c r="E35" s="16" t="s">
        <v>6</v>
      </c>
      <c r="F35" s="16" t="s">
        <v>7</v>
      </c>
      <c r="G35" s="43"/>
    </row>
    <row r="36" spans="1:7" s="80" customFormat="1" ht="14" x14ac:dyDescent="0.3">
      <c r="A36" s="79"/>
      <c r="C36" s="23" t="s">
        <v>92</v>
      </c>
      <c r="D36" s="103">
        <v>60</v>
      </c>
      <c r="E36" s="101">
        <v>76.03</v>
      </c>
      <c r="F36" s="104">
        <f t="shared" ref="F36:F39" si="2">E36*(D36/1000)</f>
        <v>4.5617999999999999</v>
      </c>
      <c r="G36" s="81"/>
    </row>
    <row r="37" spans="1:7" ht="14" x14ac:dyDescent="0.3">
      <c r="A37" s="28"/>
      <c r="C37" s="23" t="s">
        <v>107</v>
      </c>
      <c r="D37" s="9">
        <v>90</v>
      </c>
      <c r="E37" s="19">
        <v>42.62</v>
      </c>
      <c r="F37" s="11">
        <f t="shared" si="2"/>
        <v>3.8357999999999994</v>
      </c>
      <c r="G37" s="43"/>
    </row>
    <row r="38" spans="1:7" x14ac:dyDescent="0.25">
      <c r="A38" s="28"/>
      <c r="C38" s="17"/>
      <c r="D38" s="18"/>
      <c r="E38" s="19"/>
      <c r="F38" s="11">
        <f t="shared" si="2"/>
        <v>0</v>
      </c>
      <c r="G38" s="43"/>
    </row>
    <row r="39" spans="1:7" ht="14" x14ac:dyDescent="0.3">
      <c r="A39" s="28"/>
      <c r="C39" s="21"/>
      <c r="D39" s="18"/>
      <c r="E39" s="19"/>
      <c r="F39" s="11">
        <f t="shared" si="2"/>
        <v>0</v>
      </c>
      <c r="G39" s="43"/>
    </row>
    <row r="40" spans="1:7" ht="15" x14ac:dyDescent="0.3">
      <c r="A40" s="28"/>
      <c r="C40" s="12" t="s">
        <v>13</v>
      </c>
      <c r="D40" s="13">
        <f>SUM(D36:D39)</f>
        <v>150</v>
      </c>
      <c r="E40" s="14"/>
      <c r="F40" s="15">
        <f>SUM(F36:F39)</f>
        <v>8.3975999999999988</v>
      </c>
      <c r="G40" s="43"/>
    </row>
    <row r="41" spans="1:7" ht="14" thickBot="1" x14ac:dyDescent="0.3">
      <c r="A41" s="28"/>
      <c r="G41" s="43"/>
    </row>
    <row r="42" spans="1:7" ht="17.5" x14ac:dyDescent="0.35">
      <c r="A42" s="28"/>
      <c r="B42" s="24" t="s">
        <v>18</v>
      </c>
      <c r="C42" s="25"/>
      <c r="D42" s="25"/>
      <c r="E42" s="26" t="s">
        <v>5</v>
      </c>
      <c r="F42" s="27" t="s">
        <v>14</v>
      </c>
      <c r="G42" s="43"/>
    </row>
    <row r="43" spans="1:7" x14ac:dyDescent="0.25">
      <c r="A43" s="28"/>
      <c r="B43" s="28" t="s">
        <v>24</v>
      </c>
      <c r="E43" s="50">
        <f>D18+D31+D40</f>
        <v>5260</v>
      </c>
      <c r="F43" s="29">
        <f>F40+F31+F18</f>
        <v>162.3306</v>
      </c>
      <c r="G43" s="43"/>
    </row>
    <row r="44" spans="1:7" ht="14" x14ac:dyDescent="0.3">
      <c r="A44" s="28"/>
      <c r="B44" s="28" t="s">
        <v>36</v>
      </c>
      <c r="D44" s="51">
        <v>0</v>
      </c>
      <c r="E44" s="50">
        <f>+E43*(1-D44)</f>
        <v>5260</v>
      </c>
      <c r="F44" s="29">
        <f>F43</f>
        <v>162.3306</v>
      </c>
      <c r="G44" s="43"/>
    </row>
    <row r="45" spans="1:7" ht="17.5" x14ac:dyDescent="0.35">
      <c r="A45" s="28"/>
      <c r="B45" s="30" t="s">
        <v>15</v>
      </c>
      <c r="E45" s="144">
        <v>205</v>
      </c>
      <c r="F45" s="145"/>
      <c r="G45" s="43"/>
    </row>
    <row r="46" spans="1:7" ht="17.5" x14ac:dyDescent="0.35">
      <c r="A46" s="28"/>
      <c r="B46" s="30" t="s">
        <v>19</v>
      </c>
      <c r="C46" s="52"/>
      <c r="E46" s="139">
        <f>ROUNDDOWN(E44/E45,0)</f>
        <v>25</v>
      </c>
      <c r="F46" s="140"/>
      <c r="G46" s="43"/>
    </row>
    <row r="47" spans="1:7" ht="17.5" x14ac:dyDescent="0.35">
      <c r="A47" s="28"/>
      <c r="B47" s="31" t="s">
        <v>20</v>
      </c>
      <c r="C47" s="53"/>
      <c r="D47" s="52"/>
      <c r="E47" s="137">
        <f>F44/E46</f>
        <v>6.4932240000000006</v>
      </c>
      <c r="F47" s="138"/>
      <c r="G47" s="43"/>
    </row>
    <row r="48" spans="1:7" x14ac:dyDescent="0.25">
      <c r="A48" s="28"/>
      <c r="B48" s="32" t="s">
        <v>21</v>
      </c>
      <c r="C48" s="54"/>
      <c r="D48" s="55"/>
      <c r="E48" s="135">
        <f>E47/(E45/1000)</f>
        <v>31.674263414634151</v>
      </c>
      <c r="F48" s="136"/>
      <c r="G48" s="43"/>
    </row>
    <row r="49" spans="1:9" ht="17.5" x14ac:dyDescent="0.35">
      <c r="A49" s="28"/>
      <c r="B49" s="33" t="s">
        <v>16</v>
      </c>
      <c r="C49" s="56"/>
      <c r="E49" s="133">
        <v>1</v>
      </c>
      <c r="F49" s="134"/>
      <c r="G49" s="43"/>
    </row>
    <row r="50" spans="1:9" ht="18" thickBot="1" x14ac:dyDescent="0.4">
      <c r="A50" s="28"/>
      <c r="B50" s="34" t="s">
        <v>17</v>
      </c>
      <c r="C50" s="35"/>
      <c r="D50" s="36"/>
      <c r="E50" s="131">
        <f>(E47*(1+E49))</f>
        <v>12.986448000000001</v>
      </c>
      <c r="F50" s="132"/>
      <c r="G50" s="43"/>
    </row>
    <row r="51" spans="1:9" x14ac:dyDescent="0.25">
      <c r="A51" s="28"/>
      <c r="G51" s="43"/>
    </row>
    <row r="52" spans="1:9" x14ac:dyDescent="0.25">
      <c r="A52" s="28"/>
      <c r="G52" s="43"/>
    </row>
    <row r="53" spans="1:9" ht="19.5" x14ac:dyDescent="0.35">
      <c r="A53" s="28"/>
      <c r="B53" s="57" t="s">
        <v>25</v>
      </c>
      <c r="C53" s="58"/>
      <c r="D53" s="58"/>
      <c r="E53" s="58"/>
      <c r="F53" s="58"/>
      <c r="G53" s="43"/>
    </row>
    <row r="54" spans="1:9" x14ac:dyDescent="0.25">
      <c r="A54" s="28"/>
      <c r="G54" s="43"/>
    </row>
    <row r="55" spans="1:9" ht="16" x14ac:dyDescent="0.25">
      <c r="A55" s="28"/>
      <c r="B55" s="59" t="s">
        <v>26</v>
      </c>
      <c r="C55" s="37"/>
      <c r="D55" s="37"/>
      <c r="E55" s="37"/>
      <c r="F55" s="37"/>
      <c r="G55" s="60"/>
      <c r="H55" s="37"/>
    </row>
    <row r="56" spans="1:9" ht="78.650000000000006" customHeight="1" x14ac:dyDescent="0.25">
      <c r="A56" s="28"/>
      <c r="B56" s="129" t="s">
        <v>203</v>
      </c>
      <c r="C56" s="129"/>
      <c r="D56" s="129"/>
      <c r="E56" s="129"/>
      <c r="F56" s="129"/>
      <c r="G56" s="61"/>
      <c r="H56" s="38"/>
    </row>
    <row r="57" spans="1:9" x14ac:dyDescent="0.25">
      <c r="A57" s="28"/>
      <c r="G57" s="43"/>
    </row>
    <row r="58" spans="1:9" ht="16" x14ac:dyDescent="0.25">
      <c r="A58" s="28"/>
      <c r="B58" s="59" t="s">
        <v>27</v>
      </c>
      <c r="C58" s="37"/>
      <c r="D58" s="37"/>
      <c r="E58" s="37"/>
      <c r="F58" s="37"/>
      <c r="G58" s="60"/>
      <c r="H58" s="37"/>
      <c r="I58" s="37"/>
    </row>
    <row r="59" spans="1:9" ht="78.650000000000006" customHeight="1" x14ac:dyDescent="0.25">
      <c r="A59" s="28"/>
      <c r="B59" s="129"/>
      <c r="C59" s="129"/>
      <c r="D59" s="129"/>
      <c r="E59" s="129"/>
      <c r="F59" s="129"/>
      <c r="G59" s="65"/>
      <c r="H59" s="66"/>
      <c r="I59" s="66"/>
    </row>
    <row r="60" spans="1:9" x14ac:dyDescent="0.25">
      <c r="A60" s="28"/>
      <c r="G60" s="43"/>
    </row>
    <row r="61" spans="1:9" ht="16" x14ac:dyDescent="0.25">
      <c r="A61" s="28"/>
      <c r="B61" s="59" t="s">
        <v>41</v>
      </c>
      <c r="C61" s="37"/>
      <c r="D61" s="37"/>
      <c r="E61" s="37"/>
      <c r="F61" s="37"/>
      <c r="G61" s="60"/>
      <c r="H61" s="37"/>
      <c r="I61" s="37"/>
    </row>
    <row r="62" spans="1:9" ht="53.5" customHeight="1" x14ac:dyDescent="0.25">
      <c r="A62" s="28"/>
      <c r="B62" s="129" t="s">
        <v>204</v>
      </c>
      <c r="C62" s="129"/>
      <c r="D62" s="129"/>
      <c r="E62" s="129"/>
      <c r="F62" s="129"/>
      <c r="G62" s="65"/>
      <c r="H62" s="66"/>
      <c r="I62" s="66"/>
    </row>
    <row r="63" spans="1:9" ht="14" thickBot="1" x14ac:dyDescent="0.3">
      <c r="A63" s="62"/>
      <c r="B63" s="63"/>
      <c r="C63" s="63"/>
      <c r="D63" s="63"/>
      <c r="E63" s="63"/>
      <c r="F63" s="63"/>
      <c r="G63" s="64"/>
    </row>
    <row r="132" spans="2:6" ht="14.5" x14ac:dyDescent="0.35">
      <c r="B132"/>
      <c r="C132"/>
      <c r="D132"/>
      <c r="E132"/>
      <c r="F132"/>
    </row>
    <row r="133" spans="2:6" ht="14.5" x14ac:dyDescent="0.35">
      <c r="B133"/>
      <c r="C133"/>
      <c r="D133"/>
      <c r="E133"/>
      <c r="F133"/>
    </row>
    <row r="134" spans="2:6" ht="14.5" x14ac:dyDescent="0.35">
      <c r="B134"/>
      <c r="C134"/>
      <c r="D134"/>
      <c r="E134"/>
      <c r="F134"/>
    </row>
    <row r="135" spans="2:6" ht="14.5" x14ac:dyDescent="0.35">
      <c r="B135"/>
      <c r="C135"/>
      <c r="D135"/>
      <c r="E135"/>
      <c r="F135"/>
    </row>
    <row r="136" spans="2:6" ht="14.5" x14ac:dyDescent="0.35">
      <c r="B136"/>
      <c r="C136"/>
      <c r="D136"/>
      <c r="E136"/>
      <c r="F136"/>
    </row>
    <row r="137" spans="2:6" ht="14.5" x14ac:dyDescent="0.35">
      <c r="B137"/>
      <c r="C137"/>
      <c r="D137"/>
      <c r="E137"/>
      <c r="F137"/>
    </row>
    <row r="138" spans="2:6" ht="14.5" x14ac:dyDescent="0.35">
      <c r="B138"/>
      <c r="C138"/>
      <c r="D138"/>
      <c r="E138"/>
      <c r="F138"/>
    </row>
    <row r="139" spans="2:6" ht="14.5" x14ac:dyDescent="0.35">
      <c r="B139"/>
      <c r="C139"/>
      <c r="D139"/>
      <c r="E139"/>
      <c r="F139"/>
    </row>
    <row r="140" spans="2:6" ht="14.5" x14ac:dyDescent="0.35">
      <c r="B140"/>
      <c r="C140"/>
      <c r="D140"/>
      <c r="E140"/>
      <c r="F140"/>
    </row>
    <row r="141" spans="2:6" ht="14.5" x14ac:dyDescent="0.35">
      <c r="B141"/>
      <c r="C141"/>
      <c r="D141"/>
      <c r="E141"/>
      <c r="F141"/>
    </row>
  </sheetData>
  <mergeCells count="10">
    <mergeCell ref="E49:F49"/>
    <mergeCell ref="E50:F50"/>
    <mergeCell ref="B56:F56"/>
    <mergeCell ref="B59:F59"/>
    <mergeCell ref="B62:F62"/>
    <mergeCell ref="C2:D2"/>
    <mergeCell ref="E45:F45"/>
    <mergeCell ref="E46:F46"/>
    <mergeCell ref="E47:F47"/>
    <mergeCell ref="E48:F48"/>
  </mergeCells>
  <pageMargins left="0.25" right="0.25" top="0.75" bottom="0.75" header="0.3" footer="0.3"/>
  <pageSetup paperSize="9" scale="6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7"/>
  <sheetViews>
    <sheetView showGridLines="0" tabSelected="1" zoomScale="50" zoomScaleNormal="50" workbookViewId="0">
      <selection activeCell="F8" sqref="F8"/>
    </sheetView>
  </sheetViews>
  <sheetFormatPr defaultColWidth="8.90625" defaultRowHeight="13.5" x14ac:dyDescent="0.25"/>
  <cols>
    <col min="1" max="1" width="5" style="2" customWidth="1"/>
    <col min="2" max="2" width="2.36328125" style="2" customWidth="1"/>
    <col min="3" max="3" width="8.90625" style="2"/>
    <col min="4" max="4" width="49.54296875" style="2" customWidth="1"/>
    <col min="5" max="5" width="12.1796875" style="2" bestFit="1" customWidth="1"/>
    <col min="6" max="6" width="40.7265625" style="2" customWidth="1"/>
    <col min="7" max="7" width="10.1796875" style="2" bestFit="1" customWidth="1"/>
    <col min="8" max="8" width="42.6328125" style="2" customWidth="1"/>
    <col min="9" max="9" width="30.453125" style="2" customWidth="1"/>
    <col min="10" max="10" width="3" style="2" customWidth="1"/>
    <col min="11" max="16384" width="8.90625" style="2"/>
  </cols>
  <sheetData>
    <row r="1" spans="2:10" ht="14" thickBot="1" x14ac:dyDescent="0.3"/>
    <row r="2" spans="2:10" x14ac:dyDescent="0.25">
      <c r="B2" s="39"/>
      <c r="C2" s="25"/>
      <c r="D2" s="25"/>
      <c r="E2" s="25"/>
      <c r="F2" s="25"/>
      <c r="G2" s="25"/>
      <c r="H2" s="25"/>
      <c r="I2" s="25"/>
      <c r="J2" s="41"/>
    </row>
    <row r="3" spans="2:10" ht="44" x14ac:dyDescent="0.8">
      <c r="B3" s="28"/>
      <c r="C3" s="128" t="s">
        <v>80</v>
      </c>
      <c r="D3" s="128"/>
      <c r="E3" s="128"/>
      <c r="F3" s="128"/>
      <c r="G3" s="128"/>
      <c r="H3" s="128"/>
      <c r="I3" s="128"/>
      <c r="J3" s="117"/>
    </row>
    <row r="4" spans="2:10" x14ac:dyDescent="0.25">
      <c r="B4" s="28"/>
      <c r="J4" s="43"/>
    </row>
    <row r="5" spans="2:10" ht="19.5" x14ac:dyDescent="0.35">
      <c r="B5" s="28"/>
      <c r="C5" s="113" t="s">
        <v>155</v>
      </c>
      <c r="D5"/>
      <c r="E5"/>
      <c r="F5"/>
      <c r="G5"/>
      <c r="H5"/>
      <c r="I5"/>
      <c r="J5" s="116"/>
    </row>
    <row r="6" spans="2:10" s="56" customFormat="1" ht="20.5" x14ac:dyDescent="0.35">
      <c r="B6" s="33"/>
      <c r="C6" s="114" t="s">
        <v>156</v>
      </c>
      <c r="D6"/>
      <c r="E6"/>
      <c r="F6"/>
      <c r="G6"/>
      <c r="H6"/>
      <c r="I6" s="121"/>
      <c r="J6" s="116"/>
    </row>
    <row r="7" spans="2:10" s="56" customFormat="1" ht="21" thickBot="1" x14ac:dyDescent="0.4">
      <c r="B7" s="33"/>
      <c r="C7" s="114"/>
      <c r="D7"/>
      <c r="E7"/>
      <c r="F7"/>
      <c r="G7"/>
      <c r="H7"/>
      <c r="I7"/>
      <c r="J7" s="116"/>
    </row>
    <row r="8" spans="2:10" s="56" customFormat="1" ht="43.5" customHeight="1" thickBot="1" x14ac:dyDescent="0.4">
      <c r="B8" s="33"/>
      <c r="C8"/>
      <c r="D8" s="118" t="s">
        <v>205</v>
      </c>
      <c r="E8"/>
      <c r="F8" s="120" t="s">
        <v>74</v>
      </c>
      <c r="G8"/>
      <c r="H8" s="118" t="s">
        <v>77</v>
      </c>
      <c r="I8"/>
      <c r="J8" s="116"/>
    </row>
    <row r="9" spans="2:10" s="56" customFormat="1" ht="43.75" customHeight="1" thickBot="1" x14ac:dyDescent="0.4">
      <c r="B9" s="33"/>
      <c r="C9"/>
      <c r="D9" s="119" t="s">
        <v>206</v>
      </c>
      <c r="E9"/>
      <c r="F9" s="118" t="s">
        <v>207</v>
      </c>
      <c r="G9"/>
      <c r="H9" s="118" t="s">
        <v>211</v>
      </c>
      <c r="I9"/>
      <c r="J9" s="116"/>
    </row>
    <row r="10" spans="2:10" s="56" customFormat="1" ht="43.75" customHeight="1" thickBot="1" x14ac:dyDescent="0.4">
      <c r="B10" s="33"/>
      <c r="C10"/>
      <c r="D10" s="119" t="s">
        <v>71</v>
      </c>
      <c r="E10"/>
      <c r="F10" s="118" t="s">
        <v>208</v>
      </c>
      <c r="G10"/>
      <c r="H10" s="118" t="s">
        <v>212</v>
      </c>
      <c r="I10"/>
      <c r="J10" s="116"/>
    </row>
    <row r="11" spans="2:10" s="56" customFormat="1" ht="43.75" customHeight="1" thickBot="1" x14ac:dyDescent="0.4">
      <c r="B11" s="33"/>
      <c r="C11"/>
      <c r="D11" s="119" t="s">
        <v>72</v>
      </c>
      <c r="E11"/>
      <c r="F11" s="118" t="s">
        <v>209</v>
      </c>
      <c r="G11"/>
      <c r="H11" s="118" t="s">
        <v>79</v>
      </c>
      <c r="I11"/>
      <c r="J11" s="116"/>
    </row>
    <row r="12" spans="2:10" s="56" customFormat="1" ht="43.75" customHeight="1" thickBot="1" x14ac:dyDescent="0.4">
      <c r="B12" s="33"/>
      <c r="C12"/>
      <c r="D12" s="119" t="s">
        <v>73</v>
      </c>
      <c r="E12"/>
      <c r="F12" s="118" t="s">
        <v>210</v>
      </c>
      <c r="G12"/>
      <c r="H12"/>
      <c r="I12"/>
      <c r="J12" s="116"/>
    </row>
    <row r="13" spans="2:10" s="56" customFormat="1" ht="43.75" customHeight="1" thickBot="1" x14ac:dyDescent="0.4">
      <c r="B13" s="124"/>
      <c r="C13" s="122"/>
      <c r="D13" s="123"/>
      <c r="E13" s="122"/>
      <c r="F13" s="123"/>
      <c r="G13" s="122"/>
      <c r="H13" s="122"/>
      <c r="I13" s="122"/>
      <c r="J13" s="125"/>
    </row>
    <row r="14" spans="2:10" s="56" customFormat="1" ht="32.4" customHeight="1" x14ac:dyDescent="0.35">
      <c r="B14" s="126"/>
      <c r="C14"/>
      <c r="J14" s="82"/>
    </row>
    <row r="15" spans="2:10" s="56" customFormat="1" ht="32.4" customHeight="1" thickBot="1" x14ac:dyDescent="0.4">
      <c r="B15" s="83"/>
      <c r="C15" s="115"/>
      <c r="D15" s="127"/>
      <c r="E15" s="127"/>
      <c r="F15" s="127"/>
      <c r="G15" s="127"/>
      <c r="H15" s="127"/>
      <c r="I15" s="127"/>
      <c r="J15" s="84"/>
    </row>
    <row r="16" spans="2:10" s="56" customFormat="1" ht="32.4" customHeight="1" x14ac:dyDescent="0.35">
      <c r="D16"/>
    </row>
    <row r="17" s="56" customFormat="1" ht="32.4" customHeight="1" x14ac:dyDescent="0.35"/>
  </sheetData>
  <mergeCells count="1">
    <mergeCell ref="C3:I3"/>
  </mergeCells>
  <hyperlinks>
    <hyperlink ref="D8" location="'TRIO CROCANTE'!A1" display="'TRIO CROCANTE'!A1" xr:uid="{EB1B885A-5DFD-4801-9FDF-EF4064FE8E0D}"/>
    <hyperlink ref="D9" location="'BOLO DE CHOCO E BRIGADEIRO'!A1" display="'BOLO DE CHOCO E BRIGADEIRO'!A1" xr:uid="{FE5E5E8E-0930-4BFF-B160-81F7ADA58BB3}"/>
    <hyperlink ref="D10" location="'BOLO CENOURA E BRIGADEIRO'!A1" display="'BOLO CENOURA E BRIGADEIRO'!A1" xr:uid="{6A2D8196-680C-45F7-BDF5-2CE41C69F7E0}"/>
    <hyperlink ref="D11" location="'OVO DUO AVELÃ'!A1" display="'OVO DUO AVELÃ'!A1" xr:uid="{EAB085D7-20CA-4F65-88A2-4CE852F69A1B}"/>
    <hyperlink ref="D12" location="'OVO CHOCO CRUNCHY'!A1" display="'OVO CHOCO CRUNCHY'!A1" xr:uid="{78CA7B10-AB58-4FB3-824A-AC28676B4853}"/>
    <hyperlink ref="F8" location="'COLOMBA DE PISTACHE'!A1" display="'COLOMBA DE PISTACHE'!A1" xr:uid="{9D41DB49-8B63-4DF3-BF45-0FF09C466ED4}"/>
    <hyperlink ref="F9" location="'COOKIE NA LATA'!A1" display="'COOKIE NA LATA'!A1" xr:uid="{7B019139-1C0E-425D-A1ED-BBB808218E78}"/>
    <hyperlink ref="F10" location="MARITOZZO!A1" display="MARITOZZO!A1" xr:uid="{01A6E7A9-5C52-4631-A049-2F3BE3E94E12}"/>
    <hyperlink ref="F11" location="'OVO DE COLHER'!A1" display="'OVO DE COLHER'!A1" xr:uid="{B4E2ECF9-B589-4E2E-8421-38353093332E}"/>
    <hyperlink ref="F12" location="'OVO TRUFADO'!A1" display="'OVO TRUFADO'!A1" xr:uid="{2DCFE014-93EE-4671-98E2-802C264AF206}"/>
    <hyperlink ref="H8" location="'COLOMBA BYTES'!A1" display="'COLOMBA BYTES'!A1" xr:uid="{33EC2C9F-9CF9-4299-9B59-85EC0ED1674B}"/>
    <hyperlink ref="H9" location="TIRAMISÚ!A1" display="TIRAMISÚ!A1" xr:uid="{5CAED7AD-1A8F-4F81-B10C-0A4778A9B479}"/>
    <hyperlink ref="H10" location="'TORTA CRUNCHY'!A1" display="'TORTA CRUNCHY'!A1" xr:uid="{B3BAB756-0067-4894-B580-C025A5A965C7}"/>
    <hyperlink ref="H11" location="COOKIETTONE!A1" display="COOKIETTONE!A1" xr:uid="{5D9AFB81-87CE-4D47-BACD-E1BA61289DB5}"/>
  </hyperlinks>
  <pageMargins left="0.7" right="0.7" top="0.75" bottom="0.75" header="0.3" footer="0.3"/>
  <customProperties>
    <customPr name="IbpWorksheetKeyString_GUID" r:id="rId1"/>
  </customProperti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9EED8-3929-4965-B550-5F53CB61867D}">
  <sheetPr>
    <tabColor rgb="FF602000"/>
    <pageSetUpPr fitToPage="1"/>
  </sheetPr>
  <dimension ref="A1:I148"/>
  <sheetViews>
    <sheetView showGridLines="0" zoomScale="70" zoomScaleNormal="70" workbookViewId="0">
      <selection activeCell="C71" sqref="C71"/>
    </sheetView>
  </sheetViews>
  <sheetFormatPr defaultColWidth="0" defaultRowHeight="13.5" x14ac:dyDescent="0.25"/>
  <cols>
    <col min="1" max="1" width="2.08984375" style="2" customWidth="1"/>
    <col min="2" max="2" width="1.81640625" style="2" customWidth="1"/>
    <col min="3" max="3" width="52.90625" style="2" customWidth="1"/>
    <col min="4" max="6" width="16.08984375" style="2" customWidth="1"/>
    <col min="7" max="7" width="2.08984375" style="2" customWidth="1"/>
    <col min="8" max="8" width="8.90625" style="2" customWidth="1"/>
    <col min="9" max="9" width="0" style="2" hidden="1" customWidth="1"/>
    <col min="10" max="16384" width="8.90625" style="2" hidden="1"/>
  </cols>
  <sheetData>
    <row r="1" spans="1:7" ht="14.5" x14ac:dyDescent="0.35">
      <c r="A1" s="39"/>
      <c r="B1" s="25"/>
      <c r="C1" s="40"/>
      <c r="D1" s="25"/>
      <c r="E1" s="25"/>
      <c r="F1" s="25"/>
      <c r="G1" s="41"/>
    </row>
    <row r="2" spans="1:7" ht="54" customHeight="1" x14ac:dyDescent="0.25">
      <c r="A2" s="28"/>
      <c r="C2" s="130" t="s">
        <v>87</v>
      </c>
      <c r="D2" s="130"/>
      <c r="E2" s="42"/>
      <c r="G2" s="43"/>
    </row>
    <row r="3" spans="1:7" x14ac:dyDescent="0.25">
      <c r="A3" s="28"/>
      <c r="G3" s="43"/>
    </row>
    <row r="4" spans="1:7" ht="0.65" customHeight="1" x14ac:dyDescent="0.25">
      <c r="A4" s="28"/>
      <c r="G4" s="43"/>
    </row>
    <row r="5" spans="1:7" x14ac:dyDescent="0.25">
      <c r="A5" s="28"/>
      <c r="G5" s="43"/>
    </row>
    <row r="6" spans="1:7" ht="14.4" customHeight="1" x14ac:dyDescent="0.3">
      <c r="A6" s="28"/>
      <c r="B6" s="44" t="s">
        <v>82</v>
      </c>
      <c r="C6" s="44"/>
      <c r="D6" s="44"/>
      <c r="E6" s="44"/>
      <c r="F6" s="44"/>
      <c r="G6" s="43"/>
    </row>
    <row r="7" spans="1:7" ht="14" x14ac:dyDescent="0.3">
      <c r="A7" s="28"/>
      <c r="C7" s="44"/>
      <c r="D7" s="45" t="s">
        <v>5</v>
      </c>
      <c r="E7" s="3" t="s">
        <v>6</v>
      </c>
      <c r="F7" s="45" t="s">
        <v>7</v>
      </c>
      <c r="G7" s="43"/>
    </row>
    <row r="8" spans="1:7" ht="14" x14ac:dyDescent="0.3">
      <c r="A8" s="28"/>
      <c r="C8" s="4" t="s">
        <v>81</v>
      </c>
      <c r="D8" s="5">
        <v>200</v>
      </c>
      <c r="E8" s="6">
        <v>40.79</v>
      </c>
      <c r="F8" s="7">
        <f>E8*(D8/1000)</f>
        <v>8.1579999999999995</v>
      </c>
      <c r="G8" s="43"/>
    </row>
    <row r="9" spans="1:7" x14ac:dyDescent="0.25">
      <c r="A9" s="28"/>
      <c r="C9" s="8"/>
      <c r="D9" s="9"/>
      <c r="E9" s="19"/>
      <c r="F9" s="11"/>
      <c r="G9" s="43"/>
    </row>
    <row r="10" spans="1:7" x14ac:dyDescent="0.25">
      <c r="A10" s="28"/>
      <c r="C10" s="8"/>
      <c r="D10" s="9"/>
      <c r="E10" s="19"/>
      <c r="F10" s="11"/>
      <c r="G10" s="43"/>
    </row>
    <row r="11" spans="1:7" x14ac:dyDescent="0.25">
      <c r="A11" s="28"/>
      <c r="C11" s="8"/>
      <c r="D11" s="9"/>
      <c r="E11" s="19"/>
      <c r="F11" s="11"/>
      <c r="G11" s="43"/>
    </row>
    <row r="12" spans="1:7" x14ac:dyDescent="0.25">
      <c r="A12" s="28"/>
      <c r="C12" s="8"/>
      <c r="D12" s="9"/>
      <c r="E12" s="10"/>
      <c r="F12" s="11"/>
      <c r="G12" s="43"/>
    </row>
    <row r="13" spans="1:7" x14ac:dyDescent="0.25">
      <c r="A13" s="28"/>
      <c r="C13" s="8"/>
      <c r="D13" s="9"/>
      <c r="E13" s="19"/>
      <c r="F13" s="11"/>
      <c r="G13" s="43"/>
    </row>
    <row r="14" spans="1:7" x14ac:dyDescent="0.25">
      <c r="A14" s="28"/>
      <c r="C14" s="17"/>
      <c r="D14" s="18"/>
      <c r="E14" s="19"/>
      <c r="F14" s="20"/>
      <c r="G14" s="43"/>
    </row>
    <row r="15" spans="1:7" x14ac:dyDescent="0.25">
      <c r="A15" s="28"/>
      <c r="C15" s="17"/>
      <c r="D15" s="18"/>
      <c r="E15" s="19"/>
      <c r="F15" s="20"/>
      <c r="G15" s="43"/>
    </row>
    <row r="16" spans="1:7" x14ac:dyDescent="0.25">
      <c r="A16" s="28"/>
      <c r="C16" s="17"/>
      <c r="D16" s="18"/>
      <c r="E16" s="19"/>
      <c r="F16" s="20"/>
      <c r="G16" s="43"/>
    </row>
    <row r="17" spans="1:7" x14ac:dyDescent="0.25">
      <c r="A17" s="28"/>
      <c r="C17" s="17"/>
      <c r="D17" s="18"/>
      <c r="E17" s="19"/>
      <c r="F17" s="20"/>
      <c r="G17" s="43"/>
    </row>
    <row r="18" spans="1:7" ht="15" x14ac:dyDescent="0.3">
      <c r="A18" s="28"/>
      <c r="C18" s="12" t="s">
        <v>83</v>
      </c>
      <c r="D18" s="13">
        <f>SUM(D8:D17)</f>
        <v>200</v>
      </c>
      <c r="E18" s="14"/>
      <c r="F18" s="15">
        <f>SUM(F8:F17)</f>
        <v>8.1579999999999995</v>
      </c>
      <c r="G18" s="43"/>
    </row>
    <row r="19" spans="1:7" x14ac:dyDescent="0.25">
      <c r="A19" s="28"/>
      <c r="E19" s="46"/>
      <c r="F19" s="47"/>
      <c r="G19" s="43"/>
    </row>
    <row r="20" spans="1:7" x14ac:dyDescent="0.25">
      <c r="A20" s="28"/>
      <c r="E20" s="46"/>
      <c r="F20" s="47"/>
      <c r="G20" s="43"/>
    </row>
    <row r="21" spans="1:7" ht="14.4" customHeight="1" x14ac:dyDescent="0.3">
      <c r="A21" s="28"/>
      <c r="B21" s="44" t="s">
        <v>9</v>
      </c>
      <c r="C21" s="44"/>
      <c r="D21" s="44"/>
      <c r="E21" s="48"/>
      <c r="F21" s="49"/>
      <c r="G21" s="43"/>
    </row>
    <row r="22" spans="1:7" ht="14" x14ac:dyDescent="0.3">
      <c r="A22" s="28"/>
      <c r="C22" s="44"/>
      <c r="D22" s="45" t="s">
        <v>5</v>
      </c>
      <c r="E22" s="16" t="s">
        <v>6</v>
      </c>
      <c r="F22" s="49" t="s">
        <v>7</v>
      </c>
      <c r="G22" s="43"/>
    </row>
    <row r="23" spans="1:7" ht="14" x14ac:dyDescent="0.3">
      <c r="A23" s="28"/>
      <c r="C23" s="4" t="s">
        <v>84</v>
      </c>
      <c r="D23" s="5">
        <v>150</v>
      </c>
      <c r="E23" s="6">
        <v>47.68</v>
      </c>
      <c r="F23" s="7">
        <f>E23*(D23/1000)</f>
        <v>7.1520000000000001</v>
      </c>
      <c r="G23" s="43"/>
    </row>
    <row r="24" spans="1:7" x14ac:dyDescent="0.25">
      <c r="A24" s="28"/>
      <c r="C24" s="85" t="s">
        <v>85</v>
      </c>
      <c r="D24" s="9">
        <v>25</v>
      </c>
      <c r="E24" s="19">
        <v>32.369999999999997</v>
      </c>
      <c r="F24" s="11">
        <f t="shared" ref="F24" si="0">E24*(D24/1000)</f>
        <v>0.80925000000000002</v>
      </c>
      <c r="G24" s="43"/>
    </row>
    <row r="25" spans="1:7" x14ac:dyDescent="0.25">
      <c r="A25" s="28"/>
      <c r="C25" s="17"/>
      <c r="D25" s="18"/>
      <c r="E25" s="19"/>
      <c r="F25" s="11"/>
      <c r="G25" s="43"/>
    </row>
    <row r="26" spans="1:7" x14ac:dyDescent="0.25">
      <c r="A26" s="28"/>
      <c r="C26" s="17"/>
      <c r="D26" s="18"/>
      <c r="E26" s="19"/>
      <c r="F26" s="20"/>
      <c r="G26" s="43"/>
    </row>
    <row r="27" spans="1:7" x14ac:dyDescent="0.25">
      <c r="A27" s="28"/>
      <c r="C27" s="17"/>
      <c r="D27" s="18"/>
      <c r="E27" s="19"/>
      <c r="F27" s="20"/>
      <c r="G27" s="43"/>
    </row>
    <row r="28" spans="1:7" x14ac:dyDescent="0.25">
      <c r="A28" s="28"/>
      <c r="C28" s="17"/>
      <c r="D28" s="18"/>
      <c r="E28" s="19"/>
      <c r="F28" s="20"/>
      <c r="G28" s="43"/>
    </row>
    <row r="29" spans="1:7" x14ac:dyDescent="0.25">
      <c r="A29" s="28"/>
      <c r="C29" s="17"/>
      <c r="D29" s="18"/>
      <c r="E29" s="19"/>
      <c r="F29" s="20"/>
      <c r="G29" s="43"/>
    </row>
    <row r="30" spans="1:7" x14ac:dyDescent="0.25">
      <c r="A30" s="28"/>
      <c r="C30" s="17"/>
      <c r="D30" s="18"/>
      <c r="E30" s="19"/>
      <c r="F30" s="20"/>
      <c r="G30" s="43"/>
    </row>
    <row r="31" spans="1:7" x14ac:dyDescent="0.25">
      <c r="A31" s="28"/>
      <c r="C31" s="17"/>
      <c r="D31" s="18"/>
      <c r="E31" s="19"/>
      <c r="F31" s="20"/>
      <c r="G31" s="43"/>
    </row>
    <row r="32" spans="1:7" x14ac:dyDescent="0.25">
      <c r="A32" s="28"/>
      <c r="C32" s="17"/>
      <c r="D32" s="18"/>
      <c r="E32" s="19"/>
      <c r="F32" s="20"/>
      <c r="G32" s="43"/>
    </row>
    <row r="33" spans="1:7" x14ac:dyDescent="0.25">
      <c r="A33" s="28"/>
      <c r="C33" s="17"/>
      <c r="D33" s="18"/>
      <c r="E33" s="19"/>
      <c r="F33" s="20"/>
      <c r="G33" s="43"/>
    </row>
    <row r="34" spans="1:7" ht="15" x14ac:dyDescent="0.3">
      <c r="A34" s="28"/>
      <c r="C34" s="12" t="s">
        <v>11</v>
      </c>
      <c r="D34" s="13">
        <f>SUM(D23:D33)</f>
        <v>175</v>
      </c>
      <c r="E34" s="14"/>
      <c r="F34" s="15">
        <f>SUM(F23:F33)</f>
        <v>7.9612499999999997</v>
      </c>
      <c r="G34" s="43"/>
    </row>
    <row r="35" spans="1:7" x14ac:dyDescent="0.25">
      <c r="A35" s="28"/>
      <c r="E35" s="46"/>
      <c r="F35" s="47"/>
      <c r="G35" s="43"/>
    </row>
    <row r="36" spans="1:7" x14ac:dyDescent="0.25">
      <c r="A36" s="28"/>
      <c r="E36" s="46"/>
      <c r="F36" s="47"/>
      <c r="G36" s="43"/>
    </row>
    <row r="37" spans="1:7" ht="14" x14ac:dyDescent="0.3">
      <c r="A37" s="28"/>
      <c r="B37" s="44" t="s">
        <v>12</v>
      </c>
      <c r="C37" s="44"/>
      <c r="D37" s="44"/>
      <c r="E37" s="48"/>
      <c r="F37" s="49"/>
      <c r="G37" s="43"/>
    </row>
    <row r="38" spans="1:7" ht="14" x14ac:dyDescent="0.3">
      <c r="A38" s="28"/>
      <c r="C38" s="22"/>
      <c r="D38" s="3" t="s">
        <v>5</v>
      </c>
      <c r="E38" s="16" t="s">
        <v>6</v>
      </c>
      <c r="F38" s="16" t="s">
        <v>7</v>
      </c>
      <c r="G38" s="43"/>
    </row>
    <row r="39" spans="1:7" x14ac:dyDescent="0.25">
      <c r="A39" s="28"/>
      <c r="C39" s="85" t="s">
        <v>86</v>
      </c>
      <c r="D39" s="9">
        <v>0.5</v>
      </c>
      <c r="E39" s="10">
        <v>1798</v>
      </c>
      <c r="F39" s="11">
        <f t="shared" ref="F39:F40" si="1">E39*(D39/1000)</f>
        <v>0.89900000000000002</v>
      </c>
      <c r="G39" s="43"/>
    </row>
    <row r="40" spans="1:7" x14ac:dyDescent="0.25">
      <c r="A40" s="28"/>
      <c r="C40" s="17"/>
      <c r="D40" s="18"/>
      <c r="E40" s="19"/>
      <c r="F40" s="11">
        <f t="shared" si="1"/>
        <v>0</v>
      </c>
      <c r="G40" s="43"/>
    </row>
    <row r="41" spans="1:7" ht="14" x14ac:dyDescent="0.3">
      <c r="A41" s="28"/>
      <c r="C41" s="21"/>
      <c r="D41" s="18"/>
      <c r="E41" s="19"/>
      <c r="F41" s="11">
        <f t="shared" ref="F41:F44" si="2">E41*(D41/1000)</f>
        <v>0</v>
      </c>
      <c r="G41" s="43"/>
    </row>
    <row r="42" spans="1:7" ht="14" x14ac:dyDescent="0.3">
      <c r="A42" s="28"/>
      <c r="C42" s="21"/>
      <c r="D42" s="18"/>
      <c r="E42" s="19"/>
      <c r="F42" s="11">
        <f t="shared" si="2"/>
        <v>0</v>
      </c>
      <c r="G42" s="43"/>
    </row>
    <row r="43" spans="1:7" ht="14" x14ac:dyDescent="0.3">
      <c r="A43" s="28"/>
      <c r="C43" s="21"/>
      <c r="D43" s="18"/>
      <c r="E43" s="19"/>
      <c r="F43" s="11">
        <f t="shared" si="2"/>
        <v>0</v>
      </c>
      <c r="G43" s="43"/>
    </row>
    <row r="44" spans="1:7" ht="14" x14ac:dyDescent="0.3">
      <c r="A44" s="28"/>
      <c r="C44" s="21"/>
      <c r="D44" s="18"/>
      <c r="E44" s="19"/>
      <c r="F44" s="11">
        <f t="shared" si="2"/>
        <v>0</v>
      </c>
      <c r="G44" s="43"/>
    </row>
    <row r="45" spans="1:7" ht="15" x14ac:dyDescent="0.3">
      <c r="A45" s="28"/>
      <c r="C45" s="12" t="s">
        <v>13</v>
      </c>
      <c r="D45" s="13">
        <f>SUM(D39:D44)</f>
        <v>0.5</v>
      </c>
      <c r="E45" s="14"/>
      <c r="F45" s="15">
        <f>SUM(F39:F44)</f>
        <v>0.89900000000000002</v>
      </c>
      <c r="G45" s="43"/>
    </row>
    <row r="46" spans="1:7" ht="14" thickBot="1" x14ac:dyDescent="0.3">
      <c r="A46" s="28"/>
      <c r="G46" s="43"/>
    </row>
    <row r="47" spans="1:7" ht="17.5" x14ac:dyDescent="0.35">
      <c r="A47" s="28"/>
      <c r="B47" s="24" t="s">
        <v>18</v>
      </c>
      <c r="C47" s="25"/>
      <c r="D47" s="25"/>
      <c r="E47" s="26" t="s">
        <v>5</v>
      </c>
      <c r="F47" s="27" t="s">
        <v>14</v>
      </c>
      <c r="G47" s="43"/>
    </row>
    <row r="48" spans="1:7" x14ac:dyDescent="0.25">
      <c r="A48" s="28"/>
      <c r="B48" s="28" t="s">
        <v>68</v>
      </c>
      <c r="E48" s="50">
        <f>D18+D34+D45</f>
        <v>375.5</v>
      </c>
      <c r="F48" s="29">
        <f>F45+F34+F18</f>
        <v>17.018250000000002</v>
      </c>
      <c r="G48" s="43"/>
    </row>
    <row r="49" spans="1:9" ht="14" x14ac:dyDescent="0.3">
      <c r="A49" s="28"/>
      <c r="B49" s="28" t="s">
        <v>69</v>
      </c>
      <c r="D49" s="51">
        <v>0</v>
      </c>
      <c r="E49" s="50">
        <f>E48-D45</f>
        <v>375</v>
      </c>
      <c r="F49" s="29">
        <f>F48</f>
        <v>17.018250000000002</v>
      </c>
      <c r="G49" s="43"/>
    </row>
    <row r="50" spans="1:9" ht="17.5" x14ac:dyDescent="0.35">
      <c r="A50" s="28"/>
      <c r="B50" s="30" t="s">
        <v>15</v>
      </c>
      <c r="E50" s="141">
        <v>350</v>
      </c>
      <c r="F50" s="142"/>
      <c r="G50" s="43"/>
    </row>
    <row r="51" spans="1:9" ht="17.5" x14ac:dyDescent="0.35">
      <c r="A51" s="28"/>
      <c r="B51" s="30" t="s">
        <v>19</v>
      </c>
      <c r="C51" s="52"/>
      <c r="E51" s="139">
        <f>ROUNDDOWN(E49/E50,0)</f>
        <v>1</v>
      </c>
      <c r="F51" s="140"/>
      <c r="G51" s="43"/>
    </row>
    <row r="52" spans="1:9" ht="17.5" x14ac:dyDescent="0.35">
      <c r="A52" s="28"/>
      <c r="B52" s="31" t="s">
        <v>20</v>
      </c>
      <c r="C52" s="53"/>
      <c r="D52" s="52"/>
      <c r="E52" s="137">
        <f>F49/E51</f>
        <v>17.018250000000002</v>
      </c>
      <c r="F52" s="138"/>
      <c r="G52" s="43"/>
    </row>
    <row r="53" spans="1:9" x14ac:dyDescent="0.25">
      <c r="A53" s="28"/>
      <c r="B53" s="32" t="s">
        <v>21</v>
      </c>
      <c r="C53" s="54"/>
      <c r="D53" s="55"/>
      <c r="E53" s="135">
        <f>E52/(E50/1000)</f>
        <v>48.623571428571438</v>
      </c>
      <c r="F53" s="136"/>
      <c r="G53" s="43"/>
    </row>
    <row r="54" spans="1:9" ht="17.5" x14ac:dyDescent="0.35">
      <c r="A54" s="28"/>
      <c r="B54" s="33" t="s">
        <v>16</v>
      </c>
      <c r="C54" s="56"/>
      <c r="E54" s="133">
        <v>1</v>
      </c>
      <c r="F54" s="134"/>
      <c r="G54" s="43"/>
    </row>
    <row r="55" spans="1:9" ht="18" thickBot="1" x14ac:dyDescent="0.4">
      <c r="A55" s="28"/>
      <c r="B55" s="34" t="s">
        <v>17</v>
      </c>
      <c r="C55" s="35"/>
      <c r="D55" s="36"/>
      <c r="E55" s="131">
        <f>(E52*(1+E54))</f>
        <v>34.036500000000004</v>
      </c>
      <c r="F55" s="132"/>
      <c r="G55" s="43"/>
    </row>
    <row r="56" spans="1:9" x14ac:dyDescent="0.25">
      <c r="A56" s="28"/>
      <c r="G56" s="43"/>
    </row>
    <row r="57" spans="1:9" x14ac:dyDescent="0.25">
      <c r="A57" s="28"/>
      <c r="G57" s="43"/>
    </row>
    <row r="58" spans="1:9" ht="19.5" x14ac:dyDescent="0.35">
      <c r="A58" s="28"/>
      <c r="B58" s="57" t="s">
        <v>25</v>
      </c>
      <c r="C58" s="58"/>
      <c r="D58" s="58"/>
      <c r="E58" s="58"/>
      <c r="F58" s="58"/>
      <c r="G58" s="43"/>
    </row>
    <row r="59" spans="1:9" x14ac:dyDescent="0.25">
      <c r="A59" s="28"/>
      <c r="G59" s="43"/>
    </row>
    <row r="60" spans="1:9" ht="16" x14ac:dyDescent="0.25">
      <c r="A60" s="28"/>
      <c r="B60" s="59" t="s">
        <v>26</v>
      </c>
      <c r="C60" s="37"/>
      <c r="D60" s="37"/>
      <c r="E60" s="37"/>
      <c r="F60" s="37"/>
      <c r="G60" s="60"/>
      <c r="H60" s="37"/>
    </row>
    <row r="61" spans="1:9" ht="78.650000000000006" customHeight="1" x14ac:dyDescent="0.25">
      <c r="A61" s="28"/>
      <c r="B61" s="129" t="s">
        <v>157</v>
      </c>
      <c r="C61" s="129"/>
      <c r="D61" s="129"/>
      <c r="E61" s="129"/>
      <c r="F61" s="129"/>
      <c r="G61" s="61"/>
      <c r="H61" s="38"/>
    </row>
    <row r="62" spans="1:9" x14ac:dyDescent="0.25">
      <c r="A62" s="28"/>
      <c r="G62" s="43"/>
    </row>
    <row r="63" spans="1:9" ht="16" x14ac:dyDescent="0.25">
      <c r="A63" s="28"/>
      <c r="B63" s="59" t="s">
        <v>27</v>
      </c>
      <c r="C63" s="37"/>
      <c r="D63" s="37"/>
      <c r="E63" s="37"/>
      <c r="F63" s="37"/>
      <c r="G63" s="60"/>
      <c r="H63" s="37"/>
      <c r="I63" s="37"/>
    </row>
    <row r="64" spans="1:9" ht="78.650000000000006" customHeight="1" x14ac:dyDescent="0.25">
      <c r="A64" s="28"/>
      <c r="B64" s="129" t="s">
        <v>158</v>
      </c>
      <c r="C64" s="129"/>
      <c r="D64" s="129"/>
      <c r="E64" s="129"/>
      <c r="F64" s="129"/>
      <c r="G64" s="65"/>
      <c r="H64" s="66"/>
      <c r="I64" s="66"/>
    </row>
    <row r="65" spans="1:9" x14ac:dyDescent="0.25">
      <c r="A65" s="28"/>
      <c r="G65" s="43"/>
    </row>
    <row r="66" spans="1:9" ht="16" x14ac:dyDescent="0.25">
      <c r="A66" s="28"/>
      <c r="B66" s="59" t="s">
        <v>41</v>
      </c>
      <c r="C66" s="37"/>
      <c r="D66" s="37"/>
      <c r="E66" s="37"/>
      <c r="F66" s="37"/>
      <c r="G66" s="60"/>
      <c r="H66" s="37"/>
      <c r="I66" s="37"/>
    </row>
    <row r="67" spans="1:9" ht="78.650000000000006" customHeight="1" x14ac:dyDescent="0.25">
      <c r="A67" s="28"/>
      <c r="B67" s="129" t="s">
        <v>159</v>
      </c>
      <c r="C67" s="129"/>
      <c r="D67" s="129"/>
      <c r="E67" s="129"/>
      <c r="F67" s="129"/>
      <c r="G67" s="65"/>
      <c r="H67" s="66"/>
      <c r="I67" s="66"/>
    </row>
    <row r="68" spans="1:9" ht="14" thickBot="1" x14ac:dyDescent="0.3">
      <c r="A68" s="62"/>
      <c r="B68" s="63"/>
      <c r="C68" s="63"/>
      <c r="D68" s="63"/>
      <c r="E68" s="63"/>
      <c r="F68" s="63"/>
      <c r="G68" s="64"/>
    </row>
    <row r="139" spans="2:6" ht="14.5" x14ac:dyDescent="0.35">
      <c r="B139"/>
      <c r="C139"/>
      <c r="D139"/>
      <c r="E139"/>
      <c r="F139"/>
    </row>
    <row r="140" spans="2:6" ht="14.5" x14ac:dyDescent="0.35">
      <c r="B140"/>
      <c r="C140"/>
      <c r="D140"/>
      <c r="E140"/>
      <c r="F140"/>
    </row>
    <row r="141" spans="2:6" ht="14.5" x14ac:dyDescent="0.35">
      <c r="B141"/>
      <c r="C141"/>
      <c r="D141"/>
      <c r="E141"/>
      <c r="F141"/>
    </row>
    <row r="142" spans="2:6" ht="14.5" x14ac:dyDescent="0.35">
      <c r="B142"/>
      <c r="C142"/>
      <c r="D142"/>
      <c r="E142"/>
      <c r="F142"/>
    </row>
    <row r="143" spans="2:6" ht="14.5" x14ac:dyDescent="0.35">
      <c r="B143"/>
      <c r="C143"/>
      <c r="D143"/>
      <c r="E143"/>
      <c r="F143"/>
    </row>
    <row r="144" spans="2:6" ht="14.5" x14ac:dyDescent="0.35">
      <c r="B144"/>
      <c r="C144"/>
      <c r="D144"/>
      <c r="E144"/>
      <c r="F144"/>
    </row>
    <row r="145" spans="2:6" ht="14.5" x14ac:dyDescent="0.35">
      <c r="B145"/>
      <c r="C145"/>
      <c r="D145"/>
      <c r="E145"/>
      <c r="F145"/>
    </row>
    <row r="146" spans="2:6" ht="14.5" x14ac:dyDescent="0.35">
      <c r="B146"/>
      <c r="C146"/>
      <c r="D146"/>
      <c r="E146"/>
      <c r="F146"/>
    </row>
    <row r="147" spans="2:6" ht="14.5" x14ac:dyDescent="0.35">
      <c r="B147"/>
      <c r="C147"/>
      <c r="D147"/>
      <c r="E147"/>
      <c r="F147"/>
    </row>
    <row r="148" spans="2:6" ht="14.5" x14ac:dyDescent="0.35">
      <c r="B148"/>
      <c r="C148"/>
      <c r="D148"/>
      <c r="E148"/>
      <c r="F148"/>
    </row>
  </sheetData>
  <mergeCells count="10">
    <mergeCell ref="B67:F67"/>
    <mergeCell ref="C2:D2"/>
    <mergeCell ref="B61:F61"/>
    <mergeCell ref="B64:F64"/>
    <mergeCell ref="E55:F55"/>
    <mergeCell ref="E54:F54"/>
    <mergeCell ref="E53:F53"/>
    <mergeCell ref="E52:F52"/>
    <mergeCell ref="E51:F51"/>
    <mergeCell ref="E50:F50"/>
  </mergeCells>
  <pageMargins left="0.25" right="0.25" top="0.75" bottom="0.75" header="0.3" footer="0.3"/>
  <pageSetup paperSize="9" scale="60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23B5B-7B2E-47C2-8976-CC3E4DFED383}">
  <sheetPr>
    <tabColor rgb="FF602000"/>
    <pageSetUpPr fitToPage="1"/>
  </sheetPr>
  <dimension ref="A1:K151"/>
  <sheetViews>
    <sheetView showGridLines="0" zoomScale="80" zoomScaleNormal="80" workbookViewId="0">
      <selection activeCell="C78" sqref="C78"/>
    </sheetView>
  </sheetViews>
  <sheetFormatPr defaultColWidth="0" defaultRowHeight="13.5" x14ac:dyDescent="0.25"/>
  <cols>
    <col min="1" max="1" width="2.08984375" style="2" customWidth="1"/>
    <col min="2" max="2" width="1.81640625" style="2" customWidth="1"/>
    <col min="3" max="3" width="52.90625" style="2" customWidth="1"/>
    <col min="4" max="6" width="16.08984375" style="2" customWidth="1"/>
    <col min="7" max="7" width="2.08984375" style="2" customWidth="1"/>
    <col min="8" max="8" width="8.90625" style="2" customWidth="1"/>
    <col min="9" max="11" width="0" style="2" hidden="1" customWidth="1"/>
    <col min="12" max="16384" width="8.90625" style="2" hidden="1"/>
  </cols>
  <sheetData>
    <row r="1" spans="1:7" ht="14.5" x14ac:dyDescent="0.35">
      <c r="A1" s="39"/>
      <c r="B1" s="25"/>
      <c r="C1" s="40"/>
      <c r="D1" s="25"/>
      <c r="E1" s="25"/>
      <c r="F1" s="25"/>
      <c r="G1" s="41"/>
    </row>
    <row r="2" spans="1:7" ht="54" customHeight="1" x14ac:dyDescent="0.25">
      <c r="A2" s="28"/>
      <c r="C2" s="143" t="s">
        <v>70</v>
      </c>
      <c r="D2" s="143"/>
      <c r="E2" s="42"/>
      <c r="G2" s="43"/>
    </row>
    <row r="3" spans="1:7" x14ac:dyDescent="0.25">
      <c r="A3" s="28"/>
      <c r="G3" s="43"/>
    </row>
    <row r="4" spans="1:7" ht="0.65" customHeight="1" x14ac:dyDescent="0.25">
      <c r="A4" s="28"/>
      <c r="G4" s="43"/>
    </row>
    <row r="5" spans="1:7" x14ac:dyDescent="0.25">
      <c r="A5" s="28"/>
      <c r="G5" s="43"/>
    </row>
    <row r="6" spans="1:7" ht="14.4" customHeight="1" x14ac:dyDescent="0.3">
      <c r="A6" s="28"/>
      <c r="B6" s="44" t="s">
        <v>4</v>
      </c>
      <c r="C6" s="44"/>
      <c r="D6" s="44"/>
      <c r="E6" s="44"/>
      <c r="F6" s="44"/>
      <c r="G6" s="43"/>
    </row>
    <row r="7" spans="1:7" ht="14" x14ac:dyDescent="0.3">
      <c r="A7" s="28"/>
      <c r="C7" s="44"/>
      <c r="D7" s="45" t="s">
        <v>5</v>
      </c>
      <c r="E7" s="3" t="s">
        <v>6</v>
      </c>
      <c r="F7" s="45" t="s">
        <v>7</v>
      </c>
      <c r="G7" s="43"/>
    </row>
    <row r="8" spans="1:7" ht="14" x14ac:dyDescent="0.3">
      <c r="A8" s="28"/>
      <c r="C8" s="4" t="s">
        <v>63</v>
      </c>
      <c r="D8" s="5">
        <v>200</v>
      </c>
      <c r="E8" s="6">
        <v>28.01</v>
      </c>
      <c r="F8" s="7">
        <f>E8*(D8/1000)</f>
        <v>5.6020000000000003</v>
      </c>
      <c r="G8" s="43"/>
    </row>
    <row r="9" spans="1:7" x14ac:dyDescent="0.25">
      <c r="A9" s="28"/>
      <c r="C9" s="8" t="s">
        <v>28</v>
      </c>
      <c r="D9" s="9">
        <v>90</v>
      </c>
      <c r="E9" s="19">
        <f>IFERROR(VLOOKUP(C9,BDD_INGREDIENTES!$B:$C,2,FALSE),0)</f>
        <v>13.77</v>
      </c>
      <c r="F9" s="11">
        <f t="shared" ref="F9:F12" si="0">E9*(D9/1000)</f>
        <v>1.2392999999999998</v>
      </c>
      <c r="G9" s="43"/>
    </row>
    <row r="10" spans="1:7" x14ac:dyDescent="0.25">
      <c r="A10" s="28"/>
      <c r="C10" s="8" t="s">
        <v>29</v>
      </c>
      <c r="D10" s="9">
        <v>40</v>
      </c>
      <c r="E10" s="19">
        <f>IFERROR(VLOOKUP(C10,BDD_INGREDIENTES!$B:$C,2,FALSE),0)</f>
        <v>9.2799999999999994</v>
      </c>
      <c r="F10" s="11">
        <f t="shared" si="0"/>
        <v>0.37119999999999997</v>
      </c>
      <c r="G10" s="43"/>
    </row>
    <row r="11" spans="1:7" x14ac:dyDescent="0.25">
      <c r="A11" s="28"/>
      <c r="C11" s="8" t="s">
        <v>1</v>
      </c>
      <c r="D11" s="9">
        <v>60</v>
      </c>
      <c r="E11" s="19">
        <f>IFERROR(VLOOKUP(C11,BDD_INGREDIENTES!$B:$C,2,FALSE),0)</f>
        <v>1.4599999999999999E-3</v>
      </c>
      <c r="F11" s="11">
        <f t="shared" si="0"/>
        <v>8.7599999999999988E-5</v>
      </c>
      <c r="G11" s="43"/>
    </row>
    <row r="12" spans="1:7" ht="14" x14ac:dyDescent="0.3">
      <c r="A12" s="28"/>
      <c r="C12" s="23" t="s">
        <v>88</v>
      </c>
      <c r="D12" s="9">
        <v>120</v>
      </c>
      <c r="E12" s="19">
        <v>22.37</v>
      </c>
      <c r="F12" s="11">
        <f t="shared" si="0"/>
        <v>2.6844000000000001</v>
      </c>
      <c r="G12" s="43"/>
    </row>
    <row r="13" spans="1:7" x14ac:dyDescent="0.25">
      <c r="A13" s="28"/>
      <c r="C13" s="17"/>
      <c r="D13" s="18"/>
      <c r="E13" s="19"/>
      <c r="F13" s="20"/>
      <c r="G13" s="43"/>
    </row>
    <row r="14" spans="1:7" ht="15" x14ac:dyDescent="0.3">
      <c r="A14" s="28"/>
      <c r="C14" s="12" t="s">
        <v>8</v>
      </c>
      <c r="D14" s="13">
        <f>SUM(D8:D13)</f>
        <v>510</v>
      </c>
      <c r="E14" s="14"/>
      <c r="F14" s="15">
        <f>SUM(F8:F13)</f>
        <v>9.8969875999999992</v>
      </c>
      <c r="G14" s="43"/>
    </row>
    <row r="15" spans="1:7" x14ac:dyDescent="0.25">
      <c r="A15" s="28"/>
      <c r="E15" s="46"/>
      <c r="F15" s="47"/>
      <c r="G15" s="43"/>
    </row>
    <row r="16" spans="1:7" x14ac:dyDescent="0.25">
      <c r="A16" s="28"/>
      <c r="E16" s="46"/>
      <c r="F16" s="47"/>
      <c r="G16" s="43"/>
    </row>
    <row r="17" spans="1:7" ht="14.4" customHeight="1" x14ac:dyDescent="0.3">
      <c r="A17" s="28"/>
      <c r="B17" s="44" t="s">
        <v>9</v>
      </c>
      <c r="C17" s="44"/>
      <c r="D17" s="44"/>
      <c r="E17" s="48"/>
      <c r="F17" s="49"/>
      <c r="G17" s="43"/>
    </row>
    <row r="18" spans="1:7" ht="14" x14ac:dyDescent="0.3">
      <c r="A18" s="28"/>
      <c r="C18" s="22"/>
      <c r="D18" s="45" t="s">
        <v>5</v>
      </c>
      <c r="E18" s="16" t="s">
        <v>6</v>
      </c>
      <c r="F18" s="49" t="s">
        <v>7</v>
      </c>
      <c r="G18" s="43"/>
    </row>
    <row r="19" spans="1:7" ht="14" x14ac:dyDescent="0.3">
      <c r="A19" s="28"/>
      <c r="C19" s="87" t="s">
        <v>89</v>
      </c>
      <c r="D19" s="5">
        <v>300</v>
      </c>
      <c r="E19" s="19">
        <v>40.630000000000003</v>
      </c>
      <c r="F19" s="7">
        <f>E19*(D19/1000)</f>
        <v>12.189</v>
      </c>
      <c r="G19" s="43"/>
    </row>
    <row r="20" spans="1:7" ht="14" x14ac:dyDescent="0.3">
      <c r="A20" s="28"/>
      <c r="C20" s="23"/>
      <c r="D20" s="9"/>
      <c r="E20" s="19">
        <f>IFERROR(VLOOKUP(C20,BDD_INGREDIENTES!$B:$C,2,FALSE),0)</f>
        <v>0</v>
      </c>
      <c r="F20" s="11">
        <f t="shared" ref="F20" si="1">E20*(D20/1000)</f>
        <v>0</v>
      </c>
      <c r="G20" s="43"/>
    </row>
    <row r="21" spans="1:7" ht="15" x14ac:dyDescent="0.3">
      <c r="A21" s="28"/>
      <c r="C21" s="12" t="s">
        <v>11</v>
      </c>
      <c r="D21" s="13">
        <f>SUM(D19:D20)</f>
        <v>300</v>
      </c>
      <c r="E21" s="14"/>
      <c r="F21" s="15">
        <f>SUM(F19:F20)</f>
        <v>12.189</v>
      </c>
      <c r="G21" s="43"/>
    </row>
    <row r="22" spans="1:7" x14ac:dyDescent="0.25">
      <c r="A22" s="28"/>
      <c r="E22" s="46"/>
      <c r="F22" s="47"/>
      <c r="G22" s="43"/>
    </row>
    <row r="23" spans="1:7" ht="14" x14ac:dyDescent="0.3">
      <c r="A23" s="28"/>
      <c r="B23" s="44" t="s">
        <v>91</v>
      </c>
      <c r="C23" s="44"/>
      <c r="D23" s="44"/>
      <c r="E23" s="48"/>
      <c r="F23" s="49"/>
      <c r="G23" s="43"/>
    </row>
    <row r="24" spans="1:7" ht="14" x14ac:dyDescent="0.3">
      <c r="A24" s="28"/>
      <c r="C24" s="22"/>
      <c r="D24" s="3" t="s">
        <v>5</v>
      </c>
      <c r="E24" s="16" t="s">
        <v>6</v>
      </c>
      <c r="F24" s="16" t="s">
        <v>7</v>
      </c>
      <c r="G24" s="43"/>
    </row>
    <row r="25" spans="1:7" ht="14" x14ac:dyDescent="0.3">
      <c r="A25" s="28"/>
      <c r="C25" s="23" t="s">
        <v>90</v>
      </c>
      <c r="D25" s="9">
        <v>230</v>
      </c>
      <c r="E25" s="10">
        <v>83.31</v>
      </c>
      <c r="F25" s="11">
        <f t="shared" ref="F25:F30" si="2">E25*(D25/1000)</f>
        <v>19.161300000000001</v>
      </c>
      <c r="G25" s="43"/>
    </row>
    <row r="26" spans="1:7" ht="14" x14ac:dyDescent="0.3">
      <c r="A26" s="28"/>
      <c r="C26" s="23" t="s">
        <v>62</v>
      </c>
      <c r="D26" s="9">
        <v>119</v>
      </c>
      <c r="E26" s="19">
        <v>83.65</v>
      </c>
      <c r="F26" s="11">
        <f t="shared" si="2"/>
        <v>9.9543499999999998</v>
      </c>
      <c r="G26" s="43"/>
    </row>
    <row r="27" spans="1:7" ht="14" x14ac:dyDescent="0.3">
      <c r="A27" s="28"/>
      <c r="C27" s="23" t="s">
        <v>31</v>
      </c>
      <c r="D27" s="9">
        <v>238</v>
      </c>
      <c r="E27" s="19">
        <v>18.190000000000001</v>
      </c>
      <c r="F27" s="11">
        <f t="shared" si="2"/>
        <v>4.3292200000000003</v>
      </c>
      <c r="G27" s="43"/>
    </row>
    <row r="28" spans="1:7" x14ac:dyDescent="0.25">
      <c r="A28" s="28"/>
      <c r="C28" s="17" t="s">
        <v>64</v>
      </c>
      <c r="D28" s="18">
        <v>70</v>
      </c>
      <c r="E28" s="19">
        <f>VLOOKUP(C28,BDD_INGREDIENTES!$B:$C,2,FALSE)</f>
        <v>59.5</v>
      </c>
      <c r="F28" s="11">
        <f>E28*(D28/1000)</f>
        <v>4.165</v>
      </c>
      <c r="G28" s="43"/>
    </row>
    <row r="29" spans="1:7" x14ac:dyDescent="0.25">
      <c r="A29" s="28"/>
      <c r="C29" s="17" t="s">
        <v>42</v>
      </c>
      <c r="D29" s="18">
        <v>42</v>
      </c>
      <c r="E29" s="19">
        <v>29.96</v>
      </c>
      <c r="F29" s="11">
        <f t="shared" si="2"/>
        <v>1.2583200000000001</v>
      </c>
      <c r="G29" s="43"/>
    </row>
    <row r="30" spans="1:7" ht="14" x14ac:dyDescent="0.3">
      <c r="A30" s="28"/>
      <c r="C30" s="21"/>
      <c r="D30" s="18"/>
      <c r="E30" s="19"/>
      <c r="F30" s="11">
        <f t="shared" si="2"/>
        <v>0</v>
      </c>
      <c r="G30" s="43"/>
    </row>
    <row r="31" spans="1:7" ht="15" x14ac:dyDescent="0.3">
      <c r="A31" s="28"/>
      <c r="C31" s="12" t="s">
        <v>13</v>
      </c>
      <c r="D31" s="13">
        <f>SUM(D25:D30)</f>
        <v>699</v>
      </c>
      <c r="E31" s="14"/>
      <c r="F31" s="15">
        <f>SUM(F25:F30)</f>
        <v>38.868189999999998</v>
      </c>
      <c r="G31" s="43"/>
    </row>
    <row r="32" spans="1:7" x14ac:dyDescent="0.25">
      <c r="A32" s="28"/>
      <c r="E32" s="46"/>
      <c r="F32" s="47"/>
      <c r="G32" s="43"/>
    </row>
    <row r="33" spans="1:7" ht="14" x14ac:dyDescent="0.3">
      <c r="A33" s="28"/>
      <c r="B33" s="44" t="s">
        <v>94</v>
      </c>
      <c r="C33" s="44"/>
      <c r="D33" s="44"/>
      <c r="E33" s="48"/>
      <c r="F33" s="49"/>
      <c r="G33" s="43"/>
    </row>
    <row r="34" spans="1:7" ht="14" x14ac:dyDescent="0.3">
      <c r="A34" s="28"/>
      <c r="C34" s="22"/>
      <c r="D34" s="3" t="s">
        <v>5</v>
      </c>
      <c r="E34" s="16" t="s">
        <v>6</v>
      </c>
      <c r="F34" s="16" t="s">
        <v>7</v>
      </c>
      <c r="G34" s="43"/>
    </row>
    <row r="35" spans="1:7" ht="14" x14ac:dyDescent="0.3">
      <c r="A35" s="28"/>
      <c r="C35" s="23" t="s">
        <v>92</v>
      </c>
      <c r="D35" s="9">
        <v>500</v>
      </c>
      <c r="E35" s="10">
        <v>49.9</v>
      </c>
      <c r="F35" s="11">
        <f t="shared" ref="F35:F37" si="3">E35*(D35/1000)</f>
        <v>24.95</v>
      </c>
      <c r="G35" s="43"/>
    </row>
    <row r="36" spans="1:7" ht="14" x14ac:dyDescent="0.3">
      <c r="A36" s="28"/>
      <c r="C36" s="23" t="s">
        <v>31</v>
      </c>
      <c r="D36" s="9">
        <v>150</v>
      </c>
      <c r="E36" s="19">
        <v>18.190000000000001</v>
      </c>
      <c r="F36" s="11">
        <f t="shared" si="3"/>
        <v>2.7284999999999999</v>
      </c>
      <c r="G36" s="43"/>
    </row>
    <row r="37" spans="1:7" x14ac:dyDescent="0.25">
      <c r="A37" s="28"/>
      <c r="C37" s="85" t="s">
        <v>93</v>
      </c>
      <c r="D37" s="9">
        <v>2</v>
      </c>
      <c r="E37" s="19">
        <v>599.16999999999996</v>
      </c>
      <c r="F37" s="11">
        <f t="shared" si="3"/>
        <v>1.19834</v>
      </c>
      <c r="G37" s="43"/>
    </row>
    <row r="38" spans="1:7" x14ac:dyDescent="0.25">
      <c r="A38" s="28"/>
      <c r="C38" s="17"/>
      <c r="D38" s="18"/>
      <c r="E38" s="19"/>
      <c r="F38" s="11"/>
      <c r="G38" s="43"/>
    </row>
    <row r="39" spans="1:7" ht="15" x14ac:dyDescent="0.3">
      <c r="A39" s="28"/>
      <c r="C39" s="12" t="s">
        <v>13</v>
      </c>
      <c r="D39" s="13">
        <f>SUM(D35:D38)</f>
        <v>652</v>
      </c>
      <c r="E39" s="14"/>
      <c r="F39" s="15">
        <f>SUM(F35:F38)</f>
        <v>28.876840000000001</v>
      </c>
      <c r="G39" s="43"/>
    </row>
    <row r="41" spans="1:7" ht="14" x14ac:dyDescent="0.3">
      <c r="A41" s="28"/>
      <c r="B41" s="44" t="s">
        <v>95</v>
      </c>
      <c r="C41" s="44"/>
      <c r="D41" s="44"/>
      <c r="E41" s="48"/>
      <c r="F41" s="49"/>
      <c r="G41" s="43"/>
    </row>
    <row r="42" spans="1:7" ht="14" x14ac:dyDescent="0.3">
      <c r="A42" s="28"/>
      <c r="C42" s="22"/>
      <c r="D42" s="3" t="s">
        <v>5</v>
      </c>
      <c r="E42" s="16" t="s">
        <v>6</v>
      </c>
      <c r="F42" s="16" t="s">
        <v>7</v>
      </c>
      <c r="G42" s="43"/>
    </row>
    <row r="43" spans="1:7" ht="14" x14ac:dyDescent="0.3">
      <c r="A43" s="28"/>
      <c r="C43" s="23" t="s">
        <v>92</v>
      </c>
      <c r="D43" s="9">
        <v>500</v>
      </c>
      <c r="E43" s="10">
        <v>49.9</v>
      </c>
      <c r="F43" s="11">
        <f t="shared" ref="F43:F45" si="4">E43*(D43/1000)</f>
        <v>24.95</v>
      </c>
      <c r="G43" s="43"/>
    </row>
    <row r="44" spans="1:7" x14ac:dyDescent="0.25">
      <c r="A44" s="28"/>
      <c r="C44" s="85" t="s">
        <v>96</v>
      </c>
      <c r="D44" s="9">
        <v>4</v>
      </c>
      <c r="E44" s="19">
        <v>599.16999999999996</v>
      </c>
      <c r="F44" s="11">
        <f t="shared" si="4"/>
        <v>2.3966799999999999</v>
      </c>
      <c r="G44" s="43"/>
    </row>
    <row r="45" spans="1:7" x14ac:dyDescent="0.25">
      <c r="A45" s="28"/>
      <c r="C45" s="85" t="s">
        <v>97</v>
      </c>
      <c r="D45" s="9">
        <v>10</v>
      </c>
      <c r="E45" s="19">
        <v>19.989999999999998</v>
      </c>
      <c r="F45" s="11">
        <f t="shared" si="4"/>
        <v>0.19989999999999999</v>
      </c>
      <c r="G45" s="43"/>
    </row>
    <row r="46" spans="1:7" x14ac:dyDescent="0.25">
      <c r="A46" s="28"/>
      <c r="C46" s="17"/>
      <c r="D46" s="18"/>
      <c r="E46" s="19"/>
      <c r="F46" s="11"/>
      <c r="G46" s="43"/>
    </row>
    <row r="47" spans="1:7" ht="15" x14ac:dyDescent="0.3">
      <c r="A47" s="28"/>
      <c r="C47" s="12" t="s">
        <v>13</v>
      </c>
      <c r="D47" s="13">
        <f>SUM(D43:D46)</f>
        <v>514</v>
      </c>
      <c r="E47" s="14"/>
      <c r="F47" s="15">
        <f>SUM(F43:F46)</f>
        <v>27.546579999999999</v>
      </c>
      <c r="G47" s="43"/>
    </row>
    <row r="48" spans="1:7" ht="15" x14ac:dyDescent="0.3">
      <c r="A48" s="28"/>
      <c r="C48" s="88"/>
      <c r="D48" s="89"/>
      <c r="E48" s="90"/>
      <c r="F48" s="90"/>
      <c r="G48" s="43"/>
    </row>
    <row r="49" spans="1:8" ht="14" thickBot="1" x14ac:dyDescent="0.3">
      <c r="A49" s="28"/>
      <c r="G49" s="43"/>
    </row>
    <row r="50" spans="1:8" ht="17.5" x14ac:dyDescent="0.35">
      <c r="A50" s="28"/>
      <c r="B50" s="24" t="s">
        <v>18</v>
      </c>
      <c r="C50" s="25"/>
      <c r="D50" s="25"/>
      <c r="E50" s="26" t="s">
        <v>5</v>
      </c>
      <c r="F50" s="27" t="s">
        <v>14</v>
      </c>
      <c r="G50" s="43"/>
    </row>
    <row r="51" spans="1:8" x14ac:dyDescent="0.25">
      <c r="A51" s="28"/>
      <c r="B51" s="28" t="s">
        <v>24</v>
      </c>
      <c r="E51" s="50">
        <f>D14+D21+D39+D31+D47</f>
        <v>2675</v>
      </c>
      <c r="F51" s="29">
        <f>F39+F21+F14+F31+F47</f>
        <v>117.3775976</v>
      </c>
      <c r="G51" s="43"/>
    </row>
    <row r="52" spans="1:8" ht="14" x14ac:dyDescent="0.3">
      <c r="A52" s="28"/>
      <c r="B52" s="28" t="s">
        <v>36</v>
      </c>
      <c r="D52" s="51">
        <v>0.05</v>
      </c>
      <c r="E52" s="50">
        <f>+E51*(1-D52)</f>
        <v>2541.25</v>
      </c>
      <c r="F52" s="29">
        <f>F51</f>
        <v>117.3775976</v>
      </c>
      <c r="G52" s="43"/>
    </row>
    <row r="53" spans="1:8" ht="17.5" x14ac:dyDescent="0.35">
      <c r="A53" s="28"/>
      <c r="B53" s="30" t="s">
        <v>15</v>
      </c>
      <c r="E53" s="141">
        <v>2500</v>
      </c>
      <c r="F53" s="142"/>
      <c r="G53" s="43"/>
    </row>
    <row r="54" spans="1:8" ht="17.5" x14ac:dyDescent="0.35">
      <c r="A54" s="28"/>
      <c r="B54" s="30" t="s">
        <v>19</v>
      </c>
      <c r="C54" s="52"/>
      <c r="E54" s="139">
        <f>ROUNDDOWN(E52/E53,0)</f>
        <v>1</v>
      </c>
      <c r="F54" s="140"/>
      <c r="G54" s="43"/>
    </row>
    <row r="55" spans="1:8" ht="17.5" x14ac:dyDescent="0.35">
      <c r="A55" s="28"/>
      <c r="B55" s="31" t="s">
        <v>20</v>
      </c>
      <c r="C55" s="53"/>
      <c r="D55" s="52"/>
      <c r="E55" s="137">
        <f>F52/E54</f>
        <v>117.3775976</v>
      </c>
      <c r="F55" s="138"/>
      <c r="G55" s="43"/>
    </row>
    <row r="56" spans="1:8" x14ac:dyDescent="0.25">
      <c r="A56" s="28"/>
      <c r="B56" s="32" t="s">
        <v>21</v>
      </c>
      <c r="C56" s="54"/>
      <c r="D56" s="55"/>
      <c r="E56" s="135">
        <f>E55/(E53/1000)</f>
        <v>46.951039039999998</v>
      </c>
      <c r="F56" s="136"/>
      <c r="G56" s="43"/>
    </row>
    <row r="57" spans="1:8" ht="17.5" x14ac:dyDescent="0.35">
      <c r="A57" s="28"/>
      <c r="B57" s="33" t="s">
        <v>16</v>
      </c>
      <c r="C57" s="56"/>
      <c r="E57" s="133">
        <v>1</v>
      </c>
      <c r="F57" s="134"/>
      <c r="G57" s="43"/>
    </row>
    <row r="58" spans="1:8" ht="18" thickBot="1" x14ac:dyDescent="0.4">
      <c r="A58" s="28"/>
      <c r="B58" s="34" t="s">
        <v>17</v>
      </c>
      <c r="C58" s="35"/>
      <c r="D58" s="36"/>
      <c r="E58" s="131">
        <f>(E55*(1+E57))</f>
        <v>234.7551952</v>
      </c>
      <c r="F58" s="132"/>
      <c r="G58" s="43"/>
    </row>
    <row r="59" spans="1:8" x14ac:dyDescent="0.25">
      <c r="A59" s="28"/>
      <c r="G59" s="43"/>
    </row>
    <row r="60" spans="1:8" x14ac:dyDescent="0.25">
      <c r="A60" s="28"/>
      <c r="G60" s="43"/>
    </row>
    <row r="61" spans="1:8" ht="19.5" x14ac:dyDescent="0.35">
      <c r="A61" s="28"/>
      <c r="B61" s="57" t="s">
        <v>25</v>
      </c>
      <c r="C61" s="58"/>
      <c r="D61" s="58"/>
      <c r="E61" s="58"/>
      <c r="F61" s="58"/>
      <c r="G61" s="43"/>
    </row>
    <row r="62" spans="1:8" x14ac:dyDescent="0.25">
      <c r="A62" s="28"/>
      <c r="G62" s="43"/>
    </row>
    <row r="63" spans="1:8" ht="16" x14ac:dyDescent="0.25">
      <c r="A63" s="28"/>
      <c r="B63" s="59" t="s">
        <v>26</v>
      </c>
      <c r="C63" s="37"/>
      <c r="D63" s="37"/>
      <c r="E63" s="37"/>
      <c r="F63" s="37"/>
      <c r="G63" s="60"/>
      <c r="H63" s="37"/>
    </row>
    <row r="64" spans="1:8" ht="78.650000000000006" customHeight="1" x14ac:dyDescent="0.25">
      <c r="A64" s="28"/>
      <c r="B64" s="129" t="s">
        <v>160</v>
      </c>
      <c r="C64" s="129"/>
      <c r="D64" s="129"/>
      <c r="E64" s="129"/>
      <c r="F64" s="129"/>
      <c r="G64" s="61"/>
      <c r="H64" s="38"/>
    </row>
    <row r="65" spans="1:9" x14ac:dyDescent="0.25">
      <c r="A65" s="28"/>
      <c r="G65" s="43"/>
    </row>
    <row r="66" spans="1:9" ht="16" x14ac:dyDescent="0.25">
      <c r="A66" s="28"/>
      <c r="B66" s="59" t="s">
        <v>27</v>
      </c>
      <c r="C66" s="37"/>
      <c r="D66" s="37"/>
      <c r="E66" s="37"/>
      <c r="F66" s="37"/>
      <c r="G66" s="60"/>
      <c r="H66" s="37"/>
      <c r="I66" s="37"/>
    </row>
    <row r="67" spans="1:9" ht="78.650000000000006" customHeight="1" x14ac:dyDescent="0.25">
      <c r="A67" s="28"/>
      <c r="B67" s="129" t="s">
        <v>161</v>
      </c>
      <c r="C67" s="129"/>
      <c r="D67" s="129"/>
      <c r="E67" s="129"/>
      <c r="F67" s="129"/>
      <c r="G67" s="65"/>
      <c r="H67" s="66"/>
      <c r="I67" s="66"/>
    </row>
    <row r="68" spans="1:9" x14ac:dyDescent="0.25">
      <c r="A68" s="28"/>
      <c r="G68" s="43"/>
    </row>
    <row r="69" spans="1:9" ht="16" x14ac:dyDescent="0.25">
      <c r="A69" s="28"/>
      <c r="B69" s="59" t="s">
        <v>41</v>
      </c>
      <c r="C69" s="37"/>
      <c r="D69" s="37"/>
      <c r="E69" s="37"/>
      <c r="F69" s="37"/>
      <c r="G69" s="60"/>
      <c r="H69" s="37"/>
      <c r="I69" s="37"/>
    </row>
    <row r="70" spans="1:9" ht="149" customHeight="1" x14ac:dyDescent="0.25">
      <c r="A70" s="28"/>
      <c r="B70" s="129" t="s">
        <v>162</v>
      </c>
      <c r="C70" s="129"/>
      <c r="D70" s="129"/>
      <c r="E70" s="129"/>
      <c r="F70" s="129"/>
      <c r="G70" s="65"/>
      <c r="H70" s="66"/>
      <c r="I70" s="66"/>
    </row>
    <row r="71" spans="1:9" ht="14" thickBot="1" x14ac:dyDescent="0.3">
      <c r="A71" s="62"/>
      <c r="B71" s="63"/>
      <c r="C71" s="63"/>
      <c r="D71" s="63"/>
      <c r="E71" s="63"/>
      <c r="F71" s="63"/>
      <c r="G71" s="64"/>
    </row>
    <row r="142" spans="2:6" ht="14.5" x14ac:dyDescent="0.35">
      <c r="B142"/>
      <c r="C142"/>
      <c r="D142"/>
      <c r="E142"/>
      <c r="F142"/>
    </row>
    <row r="143" spans="2:6" ht="14.5" x14ac:dyDescent="0.35">
      <c r="B143"/>
      <c r="C143"/>
      <c r="D143"/>
      <c r="E143"/>
      <c r="F143"/>
    </row>
    <row r="144" spans="2:6" ht="14.5" x14ac:dyDescent="0.35">
      <c r="B144"/>
      <c r="C144"/>
      <c r="D144"/>
      <c r="E144"/>
      <c r="F144"/>
    </row>
    <row r="145" spans="2:6" ht="14.5" x14ac:dyDescent="0.35">
      <c r="B145"/>
      <c r="C145"/>
      <c r="D145"/>
      <c r="E145"/>
      <c r="F145"/>
    </row>
    <row r="146" spans="2:6" ht="14.5" x14ac:dyDescent="0.35">
      <c r="B146"/>
      <c r="C146"/>
      <c r="D146"/>
      <c r="E146"/>
      <c r="F146"/>
    </row>
    <row r="147" spans="2:6" ht="14.5" x14ac:dyDescent="0.35">
      <c r="B147"/>
      <c r="C147"/>
      <c r="D147"/>
      <c r="E147"/>
      <c r="F147"/>
    </row>
    <row r="148" spans="2:6" ht="14.5" x14ac:dyDescent="0.35">
      <c r="B148"/>
      <c r="C148"/>
      <c r="D148"/>
      <c r="E148"/>
      <c r="F148"/>
    </row>
    <row r="149" spans="2:6" ht="14.5" x14ac:dyDescent="0.35">
      <c r="B149"/>
      <c r="C149"/>
      <c r="D149"/>
      <c r="E149"/>
      <c r="F149"/>
    </row>
    <row r="150" spans="2:6" ht="14.5" x14ac:dyDescent="0.35">
      <c r="B150"/>
      <c r="C150"/>
      <c r="D150"/>
      <c r="E150"/>
      <c r="F150"/>
    </row>
    <row r="151" spans="2:6" ht="14.5" x14ac:dyDescent="0.35">
      <c r="B151"/>
      <c r="C151"/>
      <c r="D151"/>
      <c r="E151"/>
      <c r="F151"/>
    </row>
  </sheetData>
  <mergeCells count="10">
    <mergeCell ref="E58:F58"/>
    <mergeCell ref="B64:F64"/>
    <mergeCell ref="B67:F67"/>
    <mergeCell ref="B70:F70"/>
    <mergeCell ref="C2:D2"/>
    <mergeCell ref="E53:F53"/>
    <mergeCell ref="E54:F54"/>
    <mergeCell ref="E55:F55"/>
    <mergeCell ref="E56:F56"/>
    <mergeCell ref="E57:F57"/>
  </mergeCells>
  <pageMargins left="0.25" right="0.25" top="0.75" bottom="0.75" header="0.3" footer="0.3"/>
  <pageSetup paperSize="9" scale="60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B65E4-B4F1-4283-9ED7-1BDD3FEE4CB1}">
  <sheetPr>
    <tabColor rgb="FF602000"/>
    <pageSetUpPr fitToPage="1"/>
  </sheetPr>
  <dimension ref="A1:K140"/>
  <sheetViews>
    <sheetView showGridLines="0" topLeftCell="A50" zoomScale="70" zoomScaleNormal="70" workbookViewId="0">
      <selection activeCell="C60" sqref="C60"/>
    </sheetView>
  </sheetViews>
  <sheetFormatPr defaultColWidth="0" defaultRowHeight="13.5" x14ac:dyDescent="0.25"/>
  <cols>
    <col min="1" max="1" width="2.08984375" style="2" customWidth="1"/>
    <col min="2" max="2" width="1.81640625" style="2" customWidth="1"/>
    <col min="3" max="3" width="52.90625" style="2" customWidth="1"/>
    <col min="4" max="6" width="16.08984375" style="2" customWidth="1"/>
    <col min="7" max="7" width="2.08984375" style="2" customWidth="1"/>
    <col min="8" max="8" width="8.90625" style="2" customWidth="1"/>
    <col min="9" max="11" width="0" style="2" hidden="1" customWidth="1"/>
    <col min="12" max="16384" width="8.90625" style="2" hidden="1"/>
  </cols>
  <sheetData>
    <row r="1" spans="1:7" ht="14.5" x14ac:dyDescent="0.35">
      <c r="A1" s="39"/>
      <c r="B1" s="25"/>
      <c r="C1" s="40"/>
      <c r="D1" s="25"/>
      <c r="E1" s="25"/>
      <c r="F1" s="25"/>
      <c r="G1" s="41"/>
    </row>
    <row r="2" spans="1:7" ht="54" customHeight="1" x14ac:dyDescent="0.25">
      <c r="A2" s="28"/>
      <c r="C2" s="130" t="s">
        <v>71</v>
      </c>
      <c r="D2" s="130"/>
      <c r="E2" s="42"/>
      <c r="G2" s="43"/>
    </row>
    <row r="3" spans="1:7" x14ac:dyDescent="0.25">
      <c r="A3" s="28"/>
      <c r="G3" s="43"/>
    </row>
    <row r="4" spans="1:7" ht="0.65" customHeight="1" x14ac:dyDescent="0.25">
      <c r="A4" s="28"/>
      <c r="G4" s="43"/>
    </row>
    <row r="5" spans="1:7" x14ac:dyDescent="0.25">
      <c r="A5" s="28"/>
      <c r="G5" s="43"/>
    </row>
    <row r="6" spans="1:7" ht="14.4" customHeight="1" x14ac:dyDescent="0.3">
      <c r="A6" s="28"/>
      <c r="B6" s="44" t="s">
        <v>4</v>
      </c>
      <c r="C6" s="44"/>
      <c r="D6" s="44"/>
      <c r="E6" s="44"/>
      <c r="F6" s="44"/>
      <c r="G6" s="43"/>
    </row>
    <row r="7" spans="1:7" ht="14" x14ac:dyDescent="0.3">
      <c r="A7" s="28"/>
      <c r="C7" s="44"/>
      <c r="D7" s="45" t="s">
        <v>5</v>
      </c>
      <c r="E7" s="3" t="s">
        <v>6</v>
      </c>
      <c r="F7" s="45" t="s">
        <v>7</v>
      </c>
      <c r="G7" s="43"/>
    </row>
    <row r="8" spans="1:7" ht="14" x14ac:dyDescent="0.3">
      <c r="A8" s="28"/>
      <c r="C8" s="4" t="s">
        <v>98</v>
      </c>
      <c r="D8" s="5">
        <v>200</v>
      </c>
      <c r="E8" s="6">
        <v>25.91</v>
      </c>
      <c r="F8" s="7">
        <f>E8*(D8/1000)</f>
        <v>5.1820000000000004</v>
      </c>
      <c r="G8" s="43"/>
    </row>
    <row r="9" spans="1:7" x14ac:dyDescent="0.25">
      <c r="A9" s="28"/>
      <c r="C9" s="8" t="s">
        <v>28</v>
      </c>
      <c r="D9" s="9">
        <v>90</v>
      </c>
      <c r="E9" s="19">
        <f>IFERROR(VLOOKUP(C9,BDD_INGREDIENTES!$B:$C,2,FALSE),0)</f>
        <v>13.77</v>
      </c>
      <c r="F9" s="11">
        <f t="shared" ref="F9:F12" si="0">E9*(D9/1000)</f>
        <v>1.2392999999999998</v>
      </c>
      <c r="G9" s="43"/>
    </row>
    <row r="10" spans="1:7" x14ac:dyDescent="0.25">
      <c r="A10" s="28"/>
      <c r="C10" s="8" t="s">
        <v>29</v>
      </c>
      <c r="D10" s="9">
        <v>40</v>
      </c>
      <c r="E10" s="19">
        <f>IFERROR(VLOOKUP(C10,BDD_INGREDIENTES!$B:$C,2,FALSE),0)</f>
        <v>9.2799999999999994</v>
      </c>
      <c r="F10" s="11">
        <f t="shared" si="0"/>
        <v>0.37119999999999997</v>
      </c>
      <c r="G10" s="43"/>
    </row>
    <row r="11" spans="1:7" x14ac:dyDescent="0.25">
      <c r="A11" s="28"/>
      <c r="C11" s="8" t="s">
        <v>99</v>
      </c>
      <c r="D11" s="9">
        <v>60</v>
      </c>
      <c r="E11" s="19">
        <f>IFERROR(VLOOKUP(C11,BDD_INGREDIENTES!$B:$C,2,FALSE),0)</f>
        <v>0</v>
      </c>
      <c r="F11" s="11">
        <f t="shared" si="0"/>
        <v>0</v>
      </c>
      <c r="G11" s="43"/>
    </row>
    <row r="12" spans="1:7" ht="14" x14ac:dyDescent="0.3">
      <c r="A12" s="28"/>
      <c r="C12" s="23" t="s">
        <v>88</v>
      </c>
      <c r="D12" s="9">
        <v>120</v>
      </c>
      <c r="E12" s="19">
        <v>22.37</v>
      </c>
      <c r="F12" s="11">
        <f t="shared" si="0"/>
        <v>2.6844000000000001</v>
      </c>
      <c r="G12" s="43"/>
    </row>
    <row r="13" spans="1:7" x14ac:dyDescent="0.25">
      <c r="A13" s="28"/>
      <c r="C13" s="17"/>
      <c r="D13" s="18"/>
      <c r="E13" s="19"/>
      <c r="F13" s="20"/>
      <c r="G13" s="43"/>
    </row>
    <row r="14" spans="1:7" ht="15" x14ac:dyDescent="0.3">
      <c r="A14" s="28"/>
      <c r="C14" s="12" t="s">
        <v>8</v>
      </c>
      <c r="D14" s="13">
        <f>SUM(D8:D13)</f>
        <v>510</v>
      </c>
      <c r="E14" s="14"/>
      <c r="F14" s="15">
        <f>SUM(F8:F13)</f>
        <v>9.4769000000000005</v>
      </c>
      <c r="G14" s="43"/>
    </row>
    <row r="15" spans="1:7" x14ac:dyDescent="0.25">
      <c r="A15" s="28"/>
      <c r="E15" s="46"/>
      <c r="F15" s="47"/>
      <c r="G15" s="43"/>
    </row>
    <row r="16" spans="1:7" x14ac:dyDescent="0.25">
      <c r="A16" s="28"/>
      <c r="E16" s="46"/>
      <c r="F16" s="47"/>
      <c r="G16" s="43"/>
    </row>
    <row r="17" spans="1:7" ht="14.4" customHeight="1" x14ac:dyDescent="0.3">
      <c r="A17" s="28"/>
      <c r="B17" s="44" t="s">
        <v>9</v>
      </c>
      <c r="C17" s="44"/>
      <c r="D17" s="44"/>
      <c r="E17" s="48"/>
      <c r="F17" s="49"/>
      <c r="G17" s="43"/>
    </row>
    <row r="18" spans="1:7" ht="14" x14ac:dyDescent="0.3">
      <c r="A18" s="28"/>
      <c r="C18" s="44"/>
      <c r="D18" s="45" t="s">
        <v>5</v>
      </c>
      <c r="E18" s="16" t="s">
        <v>6</v>
      </c>
      <c r="F18" s="49" t="s">
        <v>7</v>
      </c>
      <c r="G18" s="43"/>
    </row>
    <row r="19" spans="1:7" ht="14" x14ac:dyDescent="0.3">
      <c r="A19" s="28"/>
      <c r="C19" s="4" t="s">
        <v>62</v>
      </c>
      <c r="D19" s="5">
        <v>120</v>
      </c>
      <c r="E19" s="19">
        <v>83.65</v>
      </c>
      <c r="F19" s="7">
        <f>E19*(D19/1000)</f>
        <v>10.038</v>
      </c>
      <c r="G19" s="43"/>
    </row>
    <row r="20" spans="1:7" x14ac:dyDescent="0.25">
      <c r="A20" s="28"/>
      <c r="C20" s="8" t="s">
        <v>33</v>
      </c>
      <c r="D20" s="9">
        <v>400</v>
      </c>
      <c r="E20" s="19">
        <v>19.440000000000001</v>
      </c>
      <c r="F20" s="11">
        <f t="shared" ref="F20:F21" si="1">E20*(D20/1000)</f>
        <v>7.7760000000000007</v>
      </c>
      <c r="G20" s="43"/>
    </row>
    <row r="21" spans="1:7" x14ac:dyDescent="0.25">
      <c r="A21" s="28"/>
      <c r="C21" s="8" t="s">
        <v>100</v>
      </c>
      <c r="D21" s="9">
        <v>400</v>
      </c>
      <c r="E21" s="19">
        <v>11.45</v>
      </c>
      <c r="F21" s="11">
        <f t="shared" si="1"/>
        <v>4.58</v>
      </c>
      <c r="G21" s="43"/>
    </row>
    <row r="22" spans="1:7" x14ac:dyDescent="0.25">
      <c r="A22" s="28"/>
      <c r="C22" s="17"/>
      <c r="D22" s="18"/>
      <c r="E22" s="19"/>
      <c r="F22" s="20"/>
      <c r="G22" s="43"/>
    </row>
    <row r="23" spans="1:7" ht="15" x14ac:dyDescent="0.3">
      <c r="A23" s="28"/>
      <c r="C23" s="12" t="s">
        <v>11</v>
      </c>
      <c r="D23" s="13">
        <f>SUM(D19:D22)</f>
        <v>920</v>
      </c>
      <c r="E23" s="14"/>
      <c r="F23" s="15">
        <f>SUM(F19:F22)</f>
        <v>22.393999999999998</v>
      </c>
      <c r="G23" s="43"/>
    </row>
    <row r="24" spans="1:7" x14ac:dyDescent="0.25">
      <c r="A24" s="28"/>
      <c r="E24" s="46"/>
      <c r="F24" s="47"/>
      <c r="G24" s="43"/>
    </row>
    <row r="25" spans="1:7" x14ac:dyDescent="0.25">
      <c r="A25" s="28"/>
      <c r="E25" s="46"/>
      <c r="F25" s="47"/>
      <c r="G25" s="43"/>
    </row>
    <row r="26" spans="1:7" ht="14" x14ac:dyDescent="0.3">
      <c r="A26" s="28"/>
      <c r="B26" s="44" t="s">
        <v>12</v>
      </c>
      <c r="C26" s="44"/>
      <c r="D26" s="44"/>
      <c r="E26" s="48"/>
      <c r="F26" s="49"/>
      <c r="G26" s="43"/>
    </row>
    <row r="27" spans="1:7" ht="14" x14ac:dyDescent="0.3">
      <c r="A27" s="28"/>
      <c r="C27" s="22"/>
      <c r="D27" s="3" t="s">
        <v>5</v>
      </c>
      <c r="E27" s="16" t="s">
        <v>6</v>
      </c>
      <c r="F27" s="16" t="s">
        <v>7</v>
      </c>
      <c r="G27" s="43"/>
    </row>
    <row r="28" spans="1:7" ht="14" x14ac:dyDescent="0.3">
      <c r="A28" s="28"/>
      <c r="C28" s="23" t="s">
        <v>103</v>
      </c>
      <c r="D28" s="9">
        <v>300</v>
      </c>
      <c r="E28" s="19">
        <f>IFERROR(VLOOKUP(C28,BDD_INGREDIENTES!$B:$C,2,FALSE),0)</f>
        <v>0</v>
      </c>
      <c r="F28" s="11">
        <f t="shared" ref="F28:F35" si="2">E28*(D28/1000)</f>
        <v>0</v>
      </c>
      <c r="G28" s="43"/>
    </row>
    <row r="29" spans="1:7" x14ac:dyDescent="0.25">
      <c r="A29" s="28"/>
      <c r="C29" s="8" t="s">
        <v>64</v>
      </c>
      <c r="D29" s="9">
        <v>100</v>
      </c>
      <c r="E29" s="19">
        <f>IFERROR(VLOOKUP(C29,BDD_INGREDIENTES!$B:$C,2,FALSE),0)</f>
        <v>59.5</v>
      </c>
      <c r="F29" s="11">
        <f t="shared" si="2"/>
        <v>5.95</v>
      </c>
      <c r="G29" s="43"/>
    </row>
    <row r="30" spans="1:7" x14ac:dyDescent="0.25">
      <c r="A30" s="28"/>
      <c r="C30" s="8" t="s">
        <v>66</v>
      </c>
      <c r="D30" s="9">
        <v>1</v>
      </c>
      <c r="E30" s="19">
        <f>IFERROR(VLOOKUP(C30,BDD_INGREDIENTES!$B:$C,2,FALSE),0)</f>
        <v>5.19</v>
      </c>
      <c r="F30" s="11">
        <f t="shared" si="2"/>
        <v>5.1900000000000002E-3</v>
      </c>
      <c r="G30" s="43"/>
    </row>
    <row r="31" spans="1:7" x14ac:dyDescent="0.25">
      <c r="A31" s="28"/>
      <c r="C31" s="8" t="s">
        <v>101</v>
      </c>
      <c r="D31" s="18">
        <v>50</v>
      </c>
      <c r="E31" s="19">
        <f>IFERROR(VLOOKUP(C31,BDD_INGREDIENTES!$B:$C,2,FALSE),0)</f>
        <v>3.59</v>
      </c>
      <c r="F31" s="11">
        <f t="shared" si="2"/>
        <v>0.17949999999999999</v>
      </c>
      <c r="G31" s="43"/>
    </row>
    <row r="32" spans="1:7" x14ac:dyDescent="0.25">
      <c r="A32" s="28"/>
      <c r="C32" s="17" t="s">
        <v>48</v>
      </c>
      <c r="D32" s="18">
        <v>270</v>
      </c>
      <c r="E32" s="19">
        <v>4.29</v>
      </c>
      <c r="F32" s="11">
        <f t="shared" si="2"/>
        <v>1.1583000000000001</v>
      </c>
      <c r="G32" s="43"/>
    </row>
    <row r="33" spans="1:7" x14ac:dyDescent="0.25">
      <c r="A33" s="28"/>
      <c r="C33" s="17" t="s">
        <v>28</v>
      </c>
      <c r="D33" s="18">
        <v>40</v>
      </c>
      <c r="E33" s="19">
        <f>IFERROR(VLOOKUP(C33,BDD_INGREDIENTES!$B:$C,2,FALSE),0)</f>
        <v>13.77</v>
      </c>
      <c r="F33" s="11">
        <f t="shared" si="2"/>
        <v>0.55079999999999996</v>
      </c>
      <c r="G33" s="43"/>
    </row>
    <row r="34" spans="1:7" ht="14" x14ac:dyDescent="0.3">
      <c r="A34" s="28"/>
      <c r="C34" s="23" t="s">
        <v>92</v>
      </c>
      <c r="D34" s="18">
        <v>400</v>
      </c>
      <c r="E34" s="19">
        <v>49.9</v>
      </c>
      <c r="F34" s="11">
        <f t="shared" si="2"/>
        <v>19.96</v>
      </c>
      <c r="G34" s="43"/>
    </row>
    <row r="35" spans="1:7" x14ac:dyDescent="0.25">
      <c r="A35" s="28"/>
      <c r="C35" s="17" t="s">
        <v>102</v>
      </c>
      <c r="D35" s="18">
        <v>20</v>
      </c>
      <c r="E35" s="19">
        <v>19.989999999999998</v>
      </c>
      <c r="F35" s="11">
        <f t="shared" si="2"/>
        <v>0.39979999999999999</v>
      </c>
      <c r="G35" s="43"/>
    </row>
    <row r="36" spans="1:7" ht="14" x14ac:dyDescent="0.3">
      <c r="A36" s="28"/>
      <c r="C36" s="21"/>
      <c r="D36" s="18"/>
      <c r="E36" s="19"/>
      <c r="F36" s="11"/>
      <c r="G36" s="43"/>
    </row>
    <row r="37" spans="1:7" ht="15" x14ac:dyDescent="0.3">
      <c r="A37" s="28"/>
      <c r="C37" s="12" t="s">
        <v>13</v>
      </c>
      <c r="D37" s="13">
        <f>SUM(D28:D36)</f>
        <v>1181</v>
      </c>
      <c r="E37" s="14"/>
      <c r="F37" s="15">
        <f>SUM(F28:F36)</f>
        <v>28.203589999999998</v>
      </c>
      <c r="G37" s="43"/>
    </row>
    <row r="38" spans="1:7" ht="14" thickBot="1" x14ac:dyDescent="0.3">
      <c r="A38" s="28"/>
      <c r="G38" s="43"/>
    </row>
    <row r="39" spans="1:7" ht="17.5" x14ac:dyDescent="0.35">
      <c r="A39" s="28"/>
      <c r="B39" s="24" t="s">
        <v>18</v>
      </c>
      <c r="C39" s="25"/>
      <c r="D39" s="25"/>
      <c r="E39" s="26" t="s">
        <v>5</v>
      </c>
      <c r="F39" s="27" t="s">
        <v>14</v>
      </c>
      <c r="G39" s="43"/>
    </row>
    <row r="40" spans="1:7" x14ac:dyDescent="0.25">
      <c r="A40" s="28"/>
      <c r="B40" s="28" t="s">
        <v>24</v>
      </c>
      <c r="E40" s="50">
        <f>D14+D23+D37</f>
        <v>2611</v>
      </c>
      <c r="F40" s="29">
        <f>F37+F23+F14</f>
        <v>60.074489999999997</v>
      </c>
      <c r="G40" s="43"/>
    </row>
    <row r="41" spans="1:7" ht="14" x14ac:dyDescent="0.3">
      <c r="A41" s="28"/>
      <c r="B41" s="28" t="s">
        <v>36</v>
      </c>
      <c r="D41" s="51"/>
      <c r="E41" s="50">
        <f>+E40*(1-D41)</f>
        <v>2611</v>
      </c>
      <c r="F41" s="29">
        <f>F40</f>
        <v>60.074489999999997</v>
      </c>
      <c r="G41" s="43"/>
    </row>
    <row r="42" spans="1:7" ht="17.5" x14ac:dyDescent="0.35">
      <c r="A42" s="28"/>
      <c r="B42" s="30" t="s">
        <v>15</v>
      </c>
      <c r="E42" s="144">
        <v>2500</v>
      </c>
      <c r="F42" s="145"/>
      <c r="G42" s="43"/>
    </row>
    <row r="43" spans="1:7" ht="17.5" x14ac:dyDescent="0.35">
      <c r="A43" s="28"/>
      <c r="B43" s="30" t="s">
        <v>19</v>
      </c>
      <c r="C43" s="52"/>
      <c r="E43" s="139">
        <f>ROUNDDOWN(E41/E42,0)</f>
        <v>1</v>
      </c>
      <c r="F43" s="140"/>
      <c r="G43" s="43"/>
    </row>
    <row r="44" spans="1:7" ht="17.5" x14ac:dyDescent="0.35">
      <c r="A44" s="28"/>
      <c r="B44" s="31" t="s">
        <v>20</v>
      </c>
      <c r="C44" s="53"/>
      <c r="D44" s="52"/>
      <c r="E44" s="137">
        <f>F41/E43</f>
        <v>60.074489999999997</v>
      </c>
      <c r="F44" s="138"/>
      <c r="G44" s="43"/>
    </row>
    <row r="45" spans="1:7" x14ac:dyDescent="0.25">
      <c r="A45" s="28"/>
      <c r="B45" s="32" t="s">
        <v>21</v>
      </c>
      <c r="C45" s="54"/>
      <c r="D45" s="55"/>
      <c r="E45" s="135">
        <f>E44/(E42/1000)</f>
        <v>24.029795999999997</v>
      </c>
      <c r="F45" s="136"/>
      <c r="G45" s="43"/>
    </row>
    <row r="46" spans="1:7" ht="17.5" x14ac:dyDescent="0.35">
      <c r="A46" s="28"/>
      <c r="B46" s="33" t="s">
        <v>16</v>
      </c>
      <c r="C46" s="56"/>
      <c r="E46" s="133">
        <v>1</v>
      </c>
      <c r="F46" s="134"/>
      <c r="G46" s="43"/>
    </row>
    <row r="47" spans="1:7" ht="18" thickBot="1" x14ac:dyDescent="0.4">
      <c r="A47" s="28"/>
      <c r="B47" s="34" t="s">
        <v>17</v>
      </c>
      <c r="C47" s="35"/>
      <c r="D47" s="36"/>
      <c r="E47" s="131">
        <f>(E44*(1+E46))</f>
        <v>120.14897999999999</v>
      </c>
      <c r="F47" s="132"/>
      <c r="G47" s="43"/>
    </row>
    <row r="48" spans="1:7" x14ac:dyDescent="0.25">
      <c r="A48" s="28"/>
      <c r="G48" s="43"/>
    </row>
    <row r="49" spans="1:9" x14ac:dyDescent="0.25">
      <c r="A49" s="28"/>
      <c r="G49" s="43"/>
    </row>
    <row r="50" spans="1:9" ht="19.5" x14ac:dyDescent="0.35">
      <c r="A50" s="28"/>
      <c r="B50" s="57" t="s">
        <v>25</v>
      </c>
      <c r="C50" s="58"/>
      <c r="D50" s="58"/>
      <c r="E50" s="58"/>
      <c r="F50" s="58"/>
      <c r="G50" s="43"/>
    </row>
    <row r="51" spans="1:9" x14ac:dyDescent="0.25">
      <c r="A51" s="28"/>
      <c r="G51" s="43"/>
    </row>
    <row r="52" spans="1:9" ht="16" x14ac:dyDescent="0.25">
      <c r="A52" s="28"/>
      <c r="B52" s="59" t="s">
        <v>26</v>
      </c>
      <c r="C52" s="37"/>
      <c r="D52" s="37"/>
      <c r="E52" s="37"/>
      <c r="F52" s="37"/>
      <c r="G52" s="60"/>
      <c r="H52" s="37"/>
    </row>
    <row r="53" spans="1:9" ht="78.650000000000006" customHeight="1" x14ac:dyDescent="0.25">
      <c r="A53" s="28"/>
      <c r="B53" s="129" t="s">
        <v>163</v>
      </c>
      <c r="C53" s="129"/>
      <c r="D53" s="129"/>
      <c r="E53" s="129"/>
      <c r="F53" s="129"/>
      <c r="G53" s="61"/>
      <c r="H53" s="38"/>
    </row>
    <row r="54" spans="1:9" x14ac:dyDescent="0.25">
      <c r="A54" s="28"/>
      <c r="G54" s="43"/>
    </row>
    <row r="55" spans="1:9" ht="16" x14ac:dyDescent="0.25">
      <c r="A55" s="28"/>
      <c r="B55" s="59" t="s">
        <v>27</v>
      </c>
      <c r="C55" s="37"/>
      <c r="D55" s="37"/>
      <c r="E55" s="37"/>
      <c r="F55" s="37"/>
      <c r="G55" s="60"/>
      <c r="H55" s="37"/>
      <c r="I55" s="37"/>
    </row>
    <row r="56" spans="1:9" ht="78.650000000000006" customHeight="1" x14ac:dyDescent="0.25">
      <c r="A56" s="28"/>
      <c r="B56" s="129" t="s">
        <v>164</v>
      </c>
      <c r="C56" s="129"/>
      <c r="D56" s="129"/>
      <c r="E56" s="129"/>
      <c r="F56" s="129"/>
      <c r="G56" s="65"/>
      <c r="H56" s="66"/>
      <c r="I56" s="66"/>
    </row>
    <row r="57" spans="1:9" x14ac:dyDescent="0.25">
      <c r="A57" s="28"/>
      <c r="G57" s="43"/>
    </row>
    <row r="58" spans="1:9" ht="24" customHeight="1" x14ac:dyDescent="0.25">
      <c r="A58" s="28"/>
      <c r="B58" s="59" t="s">
        <v>41</v>
      </c>
      <c r="C58" s="37"/>
      <c r="D58" s="37"/>
      <c r="E58" s="37"/>
      <c r="F58" s="37"/>
      <c r="G58" s="60"/>
      <c r="H58" s="37"/>
      <c r="I58" s="37"/>
    </row>
    <row r="59" spans="1:9" ht="118.5" customHeight="1" x14ac:dyDescent="0.25">
      <c r="A59" s="28"/>
      <c r="B59" s="129" t="s">
        <v>165</v>
      </c>
      <c r="C59" s="129"/>
      <c r="D59" s="129"/>
      <c r="E59" s="129"/>
      <c r="F59" s="129"/>
      <c r="G59" s="65"/>
      <c r="H59" s="66"/>
      <c r="I59" s="66"/>
    </row>
    <row r="60" spans="1:9" ht="160" customHeight="1" thickBot="1" x14ac:dyDescent="0.3">
      <c r="A60" s="62"/>
      <c r="B60" s="63"/>
      <c r="C60" s="63"/>
      <c r="D60" s="63"/>
      <c r="E60" s="63"/>
      <c r="F60" s="63"/>
      <c r="G60" s="64"/>
    </row>
    <row r="61" spans="1:9" ht="160" customHeight="1" x14ac:dyDescent="0.25"/>
    <row r="131" spans="2:6" ht="14.5" x14ac:dyDescent="0.35">
      <c r="B131"/>
      <c r="C131"/>
      <c r="D131"/>
      <c r="E131"/>
      <c r="F131"/>
    </row>
    <row r="132" spans="2:6" ht="14.5" x14ac:dyDescent="0.35">
      <c r="B132"/>
      <c r="C132"/>
      <c r="D132"/>
      <c r="E132"/>
      <c r="F132"/>
    </row>
    <row r="133" spans="2:6" ht="14.5" x14ac:dyDescent="0.35">
      <c r="B133"/>
      <c r="C133"/>
      <c r="D133"/>
      <c r="E133"/>
      <c r="F133"/>
    </row>
    <row r="134" spans="2:6" ht="14.5" x14ac:dyDescent="0.35">
      <c r="B134"/>
      <c r="C134"/>
      <c r="D134"/>
      <c r="E134"/>
      <c r="F134"/>
    </row>
    <row r="135" spans="2:6" ht="14.5" x14ac:dyDescent="0.35">
      <c r="B135"/>
      <c r="C135"/>
      <c r="D135"/>
      <c r="E135"/>
      <c r="F135"/>
    </row>
    <row r="136" spans="2:6" ht="14.5" x14ac:dyDescent="0.35">
      <c r="B136"/>
      <c r="C136"/>
      <c r="D136"/>
      <c r="E136"/>
      <c r="F136"/>
    </row>
    <row r="137" spans="2:6" ht="14.5" x14ac:dyDescent="0.35">
      <c r="B137"/>
      <c r="C137"/>
      <c r="D137"/>
      <c r="E137"/>
      <c r="F137"/>
    </row>
    <row r="138" spans="2:6" ht="14.5" x14ac:dyDescent="0.35">
      <c r="B138"/>
      <c r="C138"/>
      <c r="D138"/>
      <c r="E138"/>
      <c r="F138"/>
    </row>
    <row r="139" spans="2:6" ht="14.5" x14ac:dyDescent="0.35">
      <c r="B139"/>
      <c r="C139"/>
      <c r="D139"/>
      <c r="E139"/>
      <c r="F139"/>
    </row>
    <row r="140" spans="2:6" ht="14.5" x14ac:dyDescent="0.35">
      <c r="B140"/>
      <c r="C140"/>
      <c r="D140"/>
      <c r="E140"/>
      <c r="F140"/>
    </row>
  </sheetData>
  <mergeCells count="10">
    <mergeCell ref="E47:F47"/>
    <mergeCell ref="B53:F53"/>
    <mergeCell ref="B56:F56"/>
    <mergeCell ref="B59:F59"/>
    <mergeCell ref="C2:D2"/>
    <mergeCell ref="E42:F42"/>
    <mergeCell ref="E43:F43"/>
    <mergeCell ref="E44:F44"/>
    <mergeCell ref="E45:F45"/>
    <mergeCell ref="E46:F46"/>
  </mergeCells>
  <pageMargins left="0.25" right="0.25" top="0.75" bottom="0.75" header="0.3" footer="0.3"/>
  <pageSetup paperSize="9" scale="60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BAF18-19DD-43E0-A3AA-90DFE6354315}">
  <sheetPr>
    <tabColor rgb="FF602000"/>
    <pageSetUpPr fitToPage="1"/>
  </sheetPr>
  <dimension ref="A1:K131"/>
  <sheetViews>
    <sheetView showGridLines="0" topLeftCell="A28" zoomScale="70" zoomScaleNormal="70" workbookViewId="0">
      <selection activeCell="B50" sqref="B50:F50"/>
    </sheetView>
  </sheetViews>
  <sheetFormatPr defaultColWidth="0" defaultRowHeight="13.5" x14ac:dyDescent="0.25"/>
  <cols>
    <col min="1" max="1" width="2.08984375" style="2" customWidth="1"/>
    <col min="2" max="2" width="1.81640625" style="2" customWidth="1"/>
    <col min="3" max="3" width="52.90625" style="2" customWidth="1"/>
    <col min="4" max="6" width="16.08984375" style="2" customWidth="1"/>
    <col min="7" max="7" width="2.08984375" style="2" customWidth="1"/>
    <col min="8" max="8" width="8.90625" style="2" customWidth="1"/>
    <col min="9" max="11" width="0" style="2" hidden="1" customWidth="1"/>
    <col min="12" max="16384" width="8.90625" style="2" hidden="1"/>
  </cols>
  <sheetData>
    <row r="1" spans="1:7" ht="14.5" x14ac:dyDescent="0.35">
      <c r="A1" s="39"/>
      <c r="B1" s="25"/>
      <c r="C1" s="40"/>
      <c r="D1" s="25"/>
      <c r="E1" s="25"/>
      <c r="F1" s="25"/>
      <c r="G1" s="41"/>
    </row>
    <row r="2" spans="1:7" ht="54" customHeight="1" x14ac:dyDescent="0.25">
      <c r="A2" s="28"/>
      <c r="C2" s="130" t="s">
        <v>72</v>
      </c>
      <c r="D2" s="130"/>
      <c r="E2" s="42"/>
      <c r="G2" s="43"/>
    </row>
    <row r="3" spans="1:7" x14ac:dyDescent="0.25">
      <c r="A3" s="28"/>
      <c r="G3" s="43"/>
    </row>
    <row r="4" spans="1:7" ht="0.65" customHeight="1" x14ac:dyDescent="0.25">
      <c r="A4" s="28"/>
      <c r="G4" s="43"/>
    </row>
    <row r="5" spans="1:7" x14ac:dyDescent="0.25">
      <c r="A5" s="28"/>
      <c r="G5" s="43"/>
    </row>
    <row r="6" spans="1:7" ht="14.4" customHeight="1" x14ac:dyDescent="0.3">
      <c r="A6" s="28"/>
      <c r="B6" s="44" t="s">
        <v>82</v>
      </c>
      <c r="C6" s="44"/>
      <c r="D6" s="44"/>
      <c r="E6" s="44"/>
      <c r="F6" s="44"/>
      <c r="G6" s="43"/>
    </row>
    <row r="7" spans="1:7" ht="14" x14ac:dyDescent="0.3">
      <c r="A7" s="28"/>
      <c r="C7" s="44"/>
      <c r="D7" s="45" t="s">
        <v>5</v>
      </c>
      <c r="E7" s="3" t="s">
        <v>6</v>
      </c>
      <c r="F7" s="45" t="s">
        <v>7</v>
      </c>
      <c r="G7" s="43"/>
    </row>
    <row r="8" spans="1:7" ht="14" x14ac:dyDescent="0.3">
      <c r="A8" s="28"/>
      <c r="C8" s="4" t="s">
        <v>92</v>
      </c>
      <c r="D8" s="5">
        <v>150</v>
      </c>
      <c r="E8" s="19">
        <v>49.9</v>
      </c>
      <c r="F8" s="7">
        <f>E8*(D8/1000)</f>
        <v>7.4849999999999994</v>
      </c>
      <c r="G8" s="43"/>
    </row>
    <row r="9" spans="1:7" x14ac:dyDescent="0.25">
      <c r="A9" s="28"/>
      <c r="C9" s="17"/>
      <c r="D9" s="18"/>
      <c r="E9" s="19"/>
      <c r="F9" s="20"/>
      <c r="G9" s="43"/>
    </row>
    <row r="10" spans="1:7" ht="15" x14ac:dyDescent="0.3">
      <c r="A10" s="28"/>
      <c r="C10" s="12" t="s">
        <v>8</v>
      </c>
      <c r="D10" s="13">
        <f>SUM(D8:D9)</f>
        <v>150</v>
      </c>
      <c r="E10" s="14"/>
      <c r="F10" s="15">
        <f>SUM(F8:F9)</f>
        <v>7.4849999999999994</v>
      </c>
      <c r="G10" s="43"/>
    </row>
    <row r="11" spans="1:7" x14ac:dyDescent="0.25">
      <c r="A11" s="28"/>
      <c r="E11" s="46"/>
      <c r="F11" s="47"/>
      <c r="G11" s="43"/>
    </row>
    <row r="12" spans="1:7" x14ac:dyDescent="0.25">
      <c r="A12" s="28"/>
      <c r="E12" s="46"/>
      <c r="F12" s="47"/>
      <c r="G12" s="43"/>
    </row>
    <row r="13" spans="1:7" ht="14.4" customHeight="1" x14ac:dyDescent="0.3">
      <c r="A13" s="28"/>
      <c r="B13" s="44" t="s">
        <v>104</v>
      </c>
      <c r="C13" s="44"/>
      <c r="D13" s="44"/>
      <c r="E13" s="48"/>
      <c r="F13" s="49"/>
      <c r="G13" s="43"/>
    </row>
    <row r="14" spans="1:7" ht="14" x14ac:dyDescent="0.3">
      <c r="A14" s="28"/>
      <c r="C14" s="22"/>
      <c r="D14" s="3" t="s">
        <v>5</v>
      </c>
      <c r="E14" s="16" t="s">
        <v>6</v>
      </c>
      <c r="F14" s="16" t="s">
        <v>7</v>
      </c>
      <c r="G14" s="43"/>
    </row>
    <row r="15" spans="1:7" ht="14" x14ac:dyDescent="0.3">
      <c r="A15" s="28"/>
      <c r="C15" s="87" t="s">
        <v>63</v>
      </c>
      <c r="D15" s="91">
        <v>500</v>
      </c>
      <c r="E15" s="6">
        <v>28.01</v>
      </c>
      <c r="F15" s="92">
        <f>E15*(D15/1000)</f>
        <v>14.005000000000001</v>
      </c>
      <c r="G15" s="43"/>
    </row>
    <row r="16" spans="1:7" x14ac:dyDescent="0.25">
      <c r="A16" s="28"/>
      <c r="C16" s="8" t="s">
        <v>28</v>
      </c>
      <c r="D16" s="9">
        <v>225</v>
      </c>
      <c r="E16" s="19">
        <f>IFERROR(VLOOKUP(C16,BDD_INGREDIENTES!$B:$C,2,FALSE),0)</f>
        <v>13.77</v>
      </c>
      <c r="F16" s="11">
        <f t="shared" ref="F16:F18" si="0">E16*(D16/1000)</f>
        <v>3.0982500000000002</v>
      </c>
      <c r="G16" s="43"/>
    </row>
    <row r="17" spans="1:7" x14ac:dyDescent="0.25">
      <c r="A17" s="28"/>
      <c r="C17" s="8" t="s">
        <v>99</v>
      </c>
      <c r="D17" s="9">
        <v>150</v>
      </c>
      <c r="E17" s="19">
        <f>IFERROR(VLOOKUP(C17,BDD_INGREDIENTES!$B:$C,2,FALSE),0)</f>
        <v>0</v>
      </c>
      <c r="F17" s="11">
        <f t="shared" si="0"/>
        <v>0</v>
      </c>
      <c r="G17" s="43"/>
    </row>
    <row r="18" spans="1:7" x14ac:dyDescent="0.25">
      <c r="A18" s="28"/>
      <c r="C18" s="8" t="s">
        <v>29</v>
      </c>
      <c r="D18" s="9">
        <v>110</v>
      </c>
      <c r="E18" s="19">
        <f>IFERROR(VLOOKUP(C18,BDD_INGREDIENTES!$B:$C,2,FALSE),0)</f>
        <v>9.2799999999999994</v>
      </c>
      <c r="F18" s="11">
        <f t="shared" si="0"/>
        <v>1.0207999999999999</v>
      </c>
      <c r="G18" s="43"/>
    </row>
    <row r="19" spans="1:7" x14ac:dyDescent="0.25">
      <c r="A19" s="28"/>
      <c r="C19" s="17"/>
      <c r="D19" s="18"/>
      <c r="E19" s="19"/>
      <c r="F19" s="20"/>
      <c r="G19" s="43"/>
    </row>
    <row r="20" spans="1:7" ht="15" x14ac:dyDescent="0.3">
      <c r="A20" s="28"/>
      <c r="C20" s="12" t="s">
        <v>11</v>
      </c>
      <c r="D20" s="13">
        <f>SUM(D15:D19)</f>
        <v>985</v>
      </c>
      <c r="E20" s="14"/>
      <c r="F20" s="15">
        <f>SUM(F15:F19)</f>
        <v>18.124050000000004</v>
      </c>
      <c r="G20" s="43"/>
    </row>
    <row r="21" spans="1:7" ht="15" x14ac:dyDescent="0.3">
      <c r="A21" s="28"/>
      <c r="D21" s="93">
        <v>100</v>
      </c>
      <c r="E21" s="46"/>
      <c r="F21" s="90">
        <f>(F20*D21)/D20</f>
        <v>1.8400050761421325</v>
      </c>
      <c r="G21" s="43"/>
    </row>
    <row r="22" spans="1:7" x14ac:dyDescent="0.25">
      <c r="A22" s="28"/>
      <c r="E22" s="46"/>
      <c r="F22" s="47"/>
      <c r="G22" s="43"/>
    </row>
    <row r="23" spans="1:7" ht="14" x14ac:dyDescent="0.3">
      <c r="A23" s="28"/>
      <c r="B23" s="44" t="s">
        <v>105</v>
      </c>
      <c r="C23" s="44"/>
      <c r="D23" s="44"/>
      <c r="E23" s="48"/>
      <c r="F23" s="49"/>
      <c r="G23" s="43"/>
    </row>
    <row r="24" spans="1:7" ht="14" x14ac:dyDescent="0.3">
      <c r="A24" s="28"/>
      <c r="C24" s="22"/>
      <c r="D24" s="3" t="s">
        <v>5</v>
      </c>
      <c r="E24" s="16" t="s">
        <v>6</v>
      </c>
      <c r="F24" s="16" t="s">
        <v>7</v>
      </c>
      <c r="G24" s="43"/>
    </row>
    <row r="25" spans="1:7" ht="14" x14ac:dyDescent="0.3">
      <c r="A25" s="28"/>
      <c r="C25" s="23" t="s">
        <v>106</v>
      </c>
      <c r="D25" s="9">
        <v>50</v>
      </c>
      <c r="E25" s="19">
        <v>54.55</v>
      </c>
      <c r="F25" s="11">
        <f t="shared" ref="F25:F26" si="1">E25*(D25/1000)</f>
        <v>2.7275</v>
      </c>
      <c r="G25" s="43"/>
    </row>
    <row r="26" spans="1:7" ht="14" x14ac:dyDescent="0.3">
      <c r="A26" s="28"/>
      <c r="C26" s="23" t="s">
        <v>61</v>
      </c>
      <c r="D26" s="9">
        <v>50</v>
      </c>
      <c r="E26" s="19">
        <v>47.83</v>
      </c>
      <c r="F26" s="11">
        <f t="shared" si="1"/>
        <v>2.3915000000000002</v>
      </c>
      <c r="G26" s="43"/>
    </row>
    <row r="27" spans="1:7" x14ac:dyDescent="0.25">
      <c r="A27" s="28"/>
      <c r="C27" s="8"/>
      <c r="D27" s="9"/>
      <c r="E27" s="19"/>
      <c r="F27" s="11"/>
      <c r="G27" s="43"/>
    </row>
    <row r="28" spans="1:7" ht="15" x14ac:dyDescent="0.3">
      <c r="A28" s="28"/>
      <c r="C28" s="12" t="s">
        <v>13</v>
      </c>
      <c r="D28" s="13">
        <f>SUM(D25:D27)</f>
        <v>100</v>
      </c>
      <c r="E28" s="14"/>
      <c r="F28" s="15">
        <f>SUM(F25:F27)</f>
        <v>5.1189999999999998</v>
      </c>
      <c r="G28" s="43"/>
    </row>
    <row r="29" spans="1:7" ht="14" thickBot="1" x14ac:dyDescent="0.3">
      <c r="A29" s="28"/>
      <c r="G29" s="43"/>
    </row>
    <row r="30" spans="1:7" ht="17.5" x14ac:dyDescent="0.35">
      <c r="A30" s="28"/>
      <c r="B30" s="24" t="s">
        <v>18</v>
      </c>
      <c r="C30" s="25"/>
      <c r="D30" s="25"/>
      <c r="E30" s="26" t="s">
        <v>5</v>
      </c>
      <c r="F30" s="27" t="s">
        <v>14</v>
      </c>
      <c r="G30" s="43"/>
    </row>
    <row r="31" spans="1:7" x14ac:dyDescent="0.25">
      <c r="A31" s="28"/>
      <c r="B31" s="28" t="s">
        <v>24</v>
      </c>
      <c r="E31" s="50">
        <f>D10+D21+D28</f>
        <v>350</v>
      </c>
      <c r="F31" s="29">
        <f>F28+F21+F10</f>
        <v>14.444005076142131</v>
      </c>
      <c r="G31" s="43"/>
    </row>
    <row r="32" spans="1:7" ht="14" x14ac:dyDescent="0.3">
      <c r="A32" s="28"/>
      <c r="B32" s="28" t="s">
        <v>36</v>
      </c>
      <c r="D32" s="51">
        <v>0</v>
      </c>
      <c r="E32" s="50">
        <f>+E31*(1-D32)</f>
        <v>350</v>
      </c>
      <c r="F32" s="29">
        <f>F31</f>
        <v>14.444005076142131</v>
      </c>
      <c r="G32" s="43"/>
    </row>
    <row r="33" spans="1:9" ht="17.5" x14ac:dyDescent="0.35">
      <c r="A33" s="28"/>
      <c r="B33" s="30" t="s">
        <v>15</v>
      </c>
      <c r="E33" s="144">
        <v>250</v>
      </c>
      <c r="F33" s="145"/>
      <c r="G33" s="43"/>
    </row>
    <row r="34" spans="1:9" ht="17.5" x14ac:dyDescent="0.35">
      <c r="A34" s="28"/>
      <c r="B34" s="30" t="s">
        <v>19</v>
      </c>
      <c r="C34" s="52"/>
      <c r="E34" s="139">
        <f>ROUNDDOWN(E32/E33,0)</f>
        <v>1</v>
      </c>
      <c r="F34" s="140"/>
      <c r="G34" s="43"/>
    </row>
    <row r="35" spans="1:9" ht="17.5" x14ac:dyDescent="0.35">
      <c r="A35" s="28"/>
      <c r="B35" s="31" t="s">
        <v>20</v>
      </c>
      <c r="C35" s="53"/>
      <c r="D35" s="52"/>
      <c r="E35" s="137">
        <f>F32/E34</f>
        <v>14.444005076142131</v>
      </c>
      <c r="F35" s="138"/>
      <c r="G35" s="43"/>
    </row>
    <row r="36" spans="1:9" x14ac:dyDescent="0.25">
      <c r="A36" s="28"/>
      <c r="B36" s="32" t="s">
        <v>21</v>
      </c>
      <c r="C36" s="54"/>
      <c r="D36" s="55"/>
      <c r="E36" s="135">
        <f>E35/(E33/1000)</f>
        <v>57.776020304568526</v>
      </c>
      <c r="F36" s="136"/>
      <c r="G36" s="43"/>
    </row>
    <row r="37" spans="1:9" ht="17.5" x14ac:dyDescent="0.35">
      <c r="A37" s="28"/>
      <c r="B37" s="33" t="s">
        <v>16</v>
      </c>
      <c r="C37" s="56"/>
      <c r="E37" s="133">
        <v>1</v>
      </c>
      <c r="F37" s="134"/>
      <c r="G37" s="43"/>
    </row>
    <row r="38" spans="1:9" ht="18" thickBot="1" x14ac:dyDescent="0.4">
      <c r="A38" s="28"/>
      <c r="B38" s="34" t="s">
        <v>17</v>
      </c>
      <c r="C38" s="35"/>
      <c r="D38" s="36"/>
      <c r="E38" s="131">
        <f>(E35*(1+E37))</f>
        <v>28.888010152284263</v>
      </c>
      <c r="F38" s="132"/>
      <c r="G38" s="43"/>
    </row>
    <row r="39" spans="1:9" x14ac:dyDescent="0.25">
      <c r="A39" s="28"/>
      <c r="G39" s="43"/>
    </row>
    <row r="40" spans="1:9" x14ac:dyDescent="0.25">
      <c r="A40" s="28"/>
      <c r="G40" s="43"/>
    </row>
    <row r="41" spans="1:9" ht="19.5" x14ac:dyDescent="0.35">
      <c r="A41" s="28"/>
      <c r="B41" s="57" t="s">
        <v>25</v>
      </c>
      <c r="C41" s="58"/>
      <c r="D41" s="58"/>
      <c r="E41" s="58"/>
      <c r="F41" s="58"/>
      <c r="G41" s="43"/>
    </row>
    <row r="42" spans="1:9" x14ac:dyDescent="0.25">
      <c r="A42" s="28"/>
      <c r="G42" s="43"/>
    </row>
    <row r="43" spans="1:9" ht="16" x14ac:dyDescent="0.25">
      <c r="A43" s="28"/>
      <c r="B43" s="59" t="s">
        <v>166</v>
      </c>
      <c r="C43" s="37"/>
      <c r="D43" s="37"/>
      <c r="E43" s="37"/>
      <c r="F43" s="37"/>
      <c r="G43" s="60"/>
      <c r="H43" s="37"/>
    </row>
    <row r="44" spans="1:9" ht="78.650000000000006" customHeight="1" x14ac:dyDescent="0.25">
      <c r="A44" s="28"/>
      <c r="B44" s="129" t="s">
        <v>167</v>
      </c>
      <c r="C44" s="129"/>
      <c r="D44" s="129"/>
      <c r="E44" s="129"/>
      <c r="F44" s="129"/>
      <c r="G44" s="61"/>
      <c r="H44" s="38"/>
    </row>
    <row r="45" spans="1:9" x14ac:dyDescent="0.25">
      <c r="A45" s="28"/>
      <c r="G45" s="43"/>
    </row>
    <row r="46" spans="1:9" ht="16" x14ac:dyDescent="0.25">
      <c r="A46" s="28"/>
      <c r="B46" s="59" t="s">
        <v>169</v>
      </c>
      <c r="C46" s="37"/>
      <c r="D46" s="37"/>
      <c r="E46" s="37"/>
      <c r="F46" s="37"/>
      <c r="G46" s="60"/>
      <c r="H46" s="37"/>
      <c r="I46" s="37"/>
    </row>
    <row r="47" spans="1:9" ht="78.650000000000006" customHeight="1" x14ac:dyDescent="0.25">
      <c r="A47" s="28"/>
      <c r="B47" s="129" t="s">
        <v>168</v>
      </c>
      <c r="C47" s="129"/>
      <c r="D47" s="129"/>
      <c r="E47" s="129"/>
      <c r="F47" s="129"/>
      <c r="G47" s="65"/>
      <c r="H47" s="66"/>
      <c r="I47" s="66"/>
    </row>
    <row r="48" spans="1:9" x14ac:dyDescent="0.25">
      <c r="A48" s="28"/>
      <c r="G48" s="43"/>
    </row>
    <row r="49" spans="1:9" ht="16" x14ac:dyDescent="0.25">
      <c r="A49" s="28"/>
      <c r="B49" s="59" t="s">
        <v>170</v>
      </c>
      <c r="C49" s="37"/>
      <c r="D49" s="37"/>
      <c r="E49" s="37"/>
      <c r="F49" s="37"/>
      <c r="G49" s="60"/>
      <c r="H49" s="37"/>
      <c r="I49" s="37"/>
    </row>
    <row r="50" spans="1:9" ht="78.650000000000006" customHeight="1" x14ac:dyDescent="0.25">
      <c r="A50" s="28"/>
      <c r="B50" s="129" t="s">
        <v>171</v>
      </c>
      <c r="C50" s="129"/>
      <c r="D50" s="129"/>
      <c r="E50" s="129"/>
      <c r="F50" s="129"/>
      <c r="G50" s="65"/>
      <c r="H50" s="66"/>
      <c r="I50" s="66"/>
    </row>
    <row r="51" spans="1:9" ht="14" thickBot="1" x14ac:dyDescent="0.3">
      <c r="A51" s="62"/>
      <c r="B51" s="63"/>
      <c r="C51" s="63"/>
      <c r="D51" s="63"/>
      <c r="E51" s="63"/>
      <c r="F51" s="63"/>
      <c r="G51" s="64"/>
    </row>
    <row r="122" spans="2:6" ht="14.5" x14ac:dyDescent="0.35">
      <c r="B122"/>
      <c r="C122"/>
      <c r="D122"/>
      <c r="E122"/>
      <c r="F122"/>
    </row>
    <row r="123" spans="2:6" ht="14.5" x14ac:dyDescent="0.35">
      <c r="B123"/>
      <c r="C123"/>
      <c r="D123"/>
      <c r="E123"/>
      <c r="F123"/>
    </row>
    <row r="124" spans="2:6" ht="14.5" x14ac:dyDescent="0.35">
      <c r="B124"/>
      <c r="C124"/>
      <c r="D124"/>
      <c r="E124"/>
      <c r="F124"/>
    </row>
    <row r="125" spans="2:6" ht="14.5" x14ac:dyDescent="0.35">
      <c r="B125"/>
      <c r="C125"/>
      <c r="D125"/>
      <c r="E125"/>
      <c r="F125"/>
    </row>
    <row r="126" spans="2:6" ht="14.5" x14ac:dyDescent="0.35">
      <c r="B126"/>
      <c r="C126"/>
      <c r="D126"/>
      <c r="E126"/>
      <c r="F126"/>
    </row>
    <row r="127" spans="2:6" ht="14.5" x14ac:dyDescent="0.35">
      <c r="B127"/>
      <c r="C127"/>
      <c r="D127"/>
      <c r="E127"/>
      <c r="F127"/>
    </row>
    <row r="128" spans="2:6" ht="14.5" x14ac:dyDescent="0.35">
      <c r="B128"/>
      <c r="C128"/>
      <c r="D128"/>
      <c r="E128"/>
      <c r="F128"/>
    </row>
    <row r="129" spans="2:6" ht="14.5" x14ac:dyDescent="0.35">
      <c r="B129"/>
      <c r="C129"/>
      <c r="D129"/>
      <c r="E129"/>
      <c r="F129"/>
    </row>
    <row r="130" spans="2:6" ht="14.5" x14ac:dyDescent="0.35">
      <c r="B130"/>
      <c r="C130"/>
      <c r="D130"/>
      <c r="E130"/>
      <c r="F130"/>
    </row>
    <row r="131" spans="2:6" ht="14.5" x14ac:dyDescent="0.35">
      <c r="B131"/>
      <c r="C131"/>
      <c r="D131"/>
      <c r="E131"/>
      <c r="F131"/>
    </row>
  </sheetData>
  <mergeCells count="10">
    <mergeCell ref="E38:F38"/>
    <mergeCell ref="B44:F44"/>
    <mergeCell ref="B47:F47"/>
    <mergeCell ref="B50:F50"/>
    <mergeCell ref="C2:D2"/>
    <mergeCell ref="E33:F33"/>
    <mergeCell ref="E34:F34"/>
    <mergeCell ref="E35:F35"/>
    <mergeCell ref="E36:F36"/>
    <mergeCell ref="E37:F37"/>
  </mergeCells>
  <pageMargins left="0.25" right="0.25" top="0.75" bottom="0.75" header="0.3" footer="0.3"/>
  <pageSetup paperSize="9" scale="60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3A418-4467-479A-8B8F-32EB63A792D5}">
  <sheetPr>
    <tabColor rgb="FF602000"/>
    <pageSetUpPr fitToPage="1"/>
  </sheetPr>
  <dimension ref="A1:K140"/>
  <sheetViews>
    <sheetView showGridLines="0" zoomScale="70" zoomScaleNormal="70" workbookViewId="0">
      <selection activeCell="E57" sqref="E57"/>
    </sheetView>
  </sheetViews>
  <sheetFormatPr defaultColWidth="0" defaultRowHeight="13.5" x14ac:dyDescent="0.25"/>
  <cols>
    <col min="1" max="1" width="2.08984375" style="2" customWidth="1"/>
    <col min="2" max="2" width="1.81640625" style="2" customWidth="1"/>
    <col min="3" max="3" width="52.90625" style="2" customWidth="1"/>
    <col min="4" max="6" width="16.08984375" style="2" customWidth="1"/>
    <col min="7" max="7" width="2.08984375" style="2" customWidth="1"/>
    <col min="8" max="8" width="8.90625" style="2" customWidth="1"/>
    <col min="9" max="11" width="0" style="2" hidden="1" customWidth="1"/>
    <col min="12" max="16384" width="8.90625" style="2" hidden="1"/>
  </cols>
  <sheetData>
    <row r="1" spans="1:7" ht="14.5" x14ac:dyDescent="0.35">
      <c r="A1" s="39"/>
      <c r="B1" s="25"/>
      <c r="C1" s="40"/>
      <c r="D1" s="25"/>
      <c r="E1" s="25"/>
      <c r="F1" s="25"/>
      <c r="G1" s="41"/>
    </row>
    <row r="2" spans="1:7" ht="54" customHeight="1" x14ac:dyDescent="0.25">
      <c r="A2" s="28"/>
      <c r="C2" s="130" t="s">
        <v>73</v>
      </c>
      <c r="D2" s="130"/>
      <c r="E2" s="42"/>
      <c r="G2" s="43"/>
    </row>
    <row r="3" spans="1:7" x14ac:dyDescent="0.25">
      <c r="A3" s="28"/>
      <c r="G3" s="43"/>
    </row>
    <row r="4" spans="1:7" ht="0.65" customHeight="1" x14ac:dyDescent="0.25">
      <c r="A4" s="28"/>
      <c r="G4" s="43"/>
    </row>
    <row r="5" spans="1:7" x14ac:dyDescent="0.25">
      <c r="A5" s="28"/>
      <c r="G5" s="43"/>
    </row>
    <row r="6" spans="1:7" ht="14.4" customHeight="1" x14ac:dyDescent="0.3">
      <c r="A6" s="28"/>
      <c r="B6" s="44" t="s">
        <v>82</v>
      </c>
      <c r="C6" s="44"/>
      <c r="D6" s="44"/>
      <c r="E6" s="44"/>
      <c r="F6" s="44"/>
      <c r="G6" s="43"/>
    </row>
    <row r="7" spans="1:7" ht="14" x14ac:dyDescent="0.3">
      <c r="A7" s="28"/>
      <c r="C7" s="44"/>
      <c r="D7" s="45" t="s">
        <v>5</v>
      </c>
      <c r="E7" s="3" t="s">
        <v>6</v>
      </c>
      <c r="F7" s="45" t="s">
        <v>7</v>
      </c>
      <c r="G7" s="43"/>
    </row>
    <row r="8" spans="1:7" ht="14" x14ac:dyDescent="0.3">
      <c r="A8" s="28"/>
      <c r="C8" s="4" t="s">
        <v>107</v>
      </c>
      <c r="D8" s="5">
        <v>150</v>
      </c>
      <c r="E8" s="19">
        <v>16.93</v>
      </c>
      <c r="F8" s="7">
        <f>E8*(D8/1000)</f>
        <v>2.5394999999999999</v>
      </c>
      <c r="G8" s="43"/>
    </row>
    <row r="9" spans="1:7" x14ac:dyDescent="0.25">
      <c r="A9" s="28"/>
      <c r="C9" s="17"/>
      <c r="D9" s="18"/>
      <c r="E9" s="19"/>
      <c r="F9" s="20"/>
      <c r="G9" s="43"/>
    </row>
    <row r="10" spans="1:7" ht="15" x14ac:dyDescent="0.3">
      <c r="A10" s="28"/>
      <c r="C10" s="12" t="s">
        <v>8</v>
      </c>
      <c r="D10" s="13">
        <f>SUM(D8:D9)</f>
        <v>150</v>
      </c>
      <c r="E10" s="14"/>
      <c r="F10" s="15">
        <f>SUM(F8:F9)</f>
        <v>2.5394999999999999</v>
      </c>
      <c r="G10" s="43"/>
    </row>
    <row r="11" spans="1:7" x14ac:dyDescent="0.25">
      <c r="A11" s="28"/>
      <c r="E11" s="46"/>
      <c r="F11" s="47"/>
      <c r="G11" s="43"/>
    </row>
    <row r="12" spans="1:7" ht="14" x14ac:dyDescent="0.3">
      <c r="A12" s="28"/>
      <c r="B12" s="44" t="s">
        <v>104</v>
      </c>
      <c r="C12" s="44"/>
      <c r="D12" s="44"/>
      <c r="E12" s="44"/>
      <c r="F12" s="44"/>
      <c r="G12" s="43"/>
    </row>
    <row r="13" spans="1:7" ht="14" x14ac:dyDescent="0.3">
      <c r="A13" s="28"/>
      <c r="C13" s="44"/>
      <c r="D13" s="45" t="s">
        <v>5</v>
      </c>
      <c r="E13" s="3" t="s">
        <v>6</v>
      </c>
      <c r="F13" s="45" t="s">
        <v>7</v>
      </c>
      <c r="G13" s="43"/>
    </row>
    <row r="14" spans="1:7" ht="14" x14ac:dyDescent="0.3">
      <c r="A14" s="28"/>
      <c r="C14" s="87" t="s">
        <v>63</v>
      </c>
      <c r="D14" s="91">
        <v>500</v>
      </c>
      <c r="E14" s="6">
        <v>28.01</v>
      </c>
      <c r="F14" s="7">
        <f>E14*(D14/1000)</f>
        <v>14.005000000000001</v>
      </c>
      <c r="G14" s="43"/>
    </row>
    <row r="15" spans="1:7" x14ac:dyDescent="0.25">
      <c r="A15" s="28"/>
      <c r="C15" s="8" t="s">
        <v>28</v>
      </c>
      <c r="D15" s="9">
        <v>225</v>
      </c>
      <c r="E15" s="19">
        <f>IFERROR(VLOOKUP(C15,BDD_INGREDIENTES!$B:$C,2,FALSE),0)</f>
        <v>13.77</v>
      </c>
      <c r="F15" s="7">
        <f t="shared" ref="F15:F17" si="0">E15*(D15/1000)</f>
        <v>3.0982500000000002</v>
      </c>
      <c r="G15" s="43"/>
    </row>
    <row r="16" spans="1:7" x14ac:dyDescent="0.25">
      <c r="A16" s="28"/>
      <c r="C16" s="8" t="s">
        <v>99</v>
      </c>
      <c r="D16" s="9">
        <v>150</v>
      </c>
      <c r="E16" s="19">
        <f>IFERROR(VLOOKUP(C16,BDD_INGREDIENTES!$B:$C,2,FALSE),0)</f>
        <v>0</v>
      </c>
      <c r="F16" s="7">
        <f t="shared" si="0"/>
        <v>0</v>
      </c>
      <c r="G16" s="43"/>
    </row>
    <row r="17" spans="1:7" x14ac:dyDescent="0.25">
      <c r="A17" s="28"/>
      <c r="C17" s="8" t="s">
        <v>29</v>
      </c>
      <c r="D17" s="9">
        <v>110</v>
      </c>
      <c r="E17" s="19">
        <f>IFERROR(VLOOKUP(C17,BDD_INGREDIENTES!$B:$C,2,FALSE),0)</f>
        <v>9.2799999999999994</v>
      </c>
      <c r="F17" s="7">
        <f t="shared" si="0"/>
        <v>1.0207999999999999</v>
      </c>
      <c r="G17" s="43"/>
    </row>
    <row r="18" spans="1:7" x14ac:dyDescent="0.25">
      <c r="A18" s="28"/>
      <c r="C18" s="17"/>
      <c r="D18" s="18"/>
      <c r="E18" s="19"/>
      <c r="F18" s="20"/>
      <c r="G18" s="43"/>
    </row>
    <row r="19" spans="1:7" ht="15" x14ac:dyDescent="0.3">
      <c r="A19" s="28"/>
      <c r="C19" s="12" t="s">
        <v>8</v>
      </c>
      <c r="D19" s="13">
        <f>SUM(D14:D18)</f>
        <v>985</v>
      </c>
      <c r="E19" s="14"/>
      <c r="F19" s="15">
        <f>SUM(F14:F18)</f>
        <v>18.124050000000004</v>
      </c>
      <c r="G19" s="43"/>
    </row>
    <row r="20" spans="1:7" ht="15" x14ac:dyDescent="0.3">
      <c r="A20" s="28"/>
      <c r="C20" s="88"/>
      <c r="D20" s="89">
        <v>100</v>
      </c>
      <c r="E20" s="90"/>
      <c r="F20" s="90">
        <f>(F19*D20)/D19</f>
        <v>1.8400050761421325</v>
      </c>
      <c r="G20" s="43"/>
    </row>
    <row r="21" spans="1:7" x14ac:dyDescent="0.25">
      <c r="A21" s="28"/>
      <c r="E21" s="46"/>
      <c r="F21" s="47"/>
      <c r="G21" s="43"/>
    </row>
    <row r="22" spans="1:7" ht="14.4" customHeight="1" x14ac:dyDescent="0.3">
      <c r="A22" s="28"/>
      <c r="B22" s="44" t="s">
        <v>9</v>
      </c>
      <c r="C22" s="44"/>
      <c r="D22" s="44"/>
      <c r="E22" s="48"/>
      <c r="F22" s="49"/>
      <c r="G22" s="43"/>
    </row>
    <row r="23" spans="1:7" ht="14" x14ac:dyDescent="0.3">
      <c r="A23" s="28"/>
      <c r="C23" s="44"/>
      <c r="D23" s="45" t="s">
        <v>5</v>
      </c>
      <c r="E23" s="16" t="s">
        <v>6</v>
      </c>
      <c r="F23" s="49" t="s">
        <v>7</v>
      </c>
      <c r="G23" s="43"/>
    </row>
    <row r="24" spans="1:7" ht="14" x14ac:dyDescent="0.3">
      <c r="A24" s="28"/>
      <c r="C24" s="23" t="s">
        <v>90</v>
      </c>
      <c r="D24" s="9">
        <v>1700</v>
      </c>
      <c r="E24" s="19">
        <v>71.760000000000005</v>
      </c>
      <c r="F24" s="11">
        <f>E24*(D24/1000)</f>
        <v>121.992</v>
      </c>
      <c r="G24" s="43"/>
    </row>
    <row r="25" spans="1:7" ht="14" x14ac:dyDescent="0.3">
      <c r="A25" s="28"/>
      <c r="C25" s="23" t="s">
        <v>31</v>
      </c>
      <c r="D25" s="9">
        <v>750</v>
      </c>
      <c r="E25" s="19">
        <v>18.190000000000001</v>
      </c>
      <c r="F25" s="11">
        <f t="shared" ref="F25:F28" si="1">E25*(D25/1000)</f>
        <v>13.642500000000002</v>
      </c>
      <c r="G25" s="43"/>
    </row>
    <row r="26" spans="1:7" ht="14" x14ac:dyDescent="0.3">
      <c r="A26" s="28"/>
      <c r="C26" s="23" t="s">
        <v>103</v>
      </c>
      <c r="D26" s="9">
        <v>600</v>
      </c>
      <c r="E26" s="19">
        <v>25.55</v>
      </c>
      <c r="F26" s="11">
        <f t="shared" si="1"/>
        <v>15.33</v>
      </c>
      <c r="G26" s="43"/>
    </row>
    <row r="27" spans="1:7" x14ac:dyDescent="0.25">
      <c r="A27" s="28"/>
      <c r="C27" s="8" t="s">
        <v>64</v>
      </c>
      <c r="D27" s="9">
        <v>380</v>
      </c>
      <c r="E27" s="19">
        <f>IFERROR(VLOOKUP(C27,BDD_INGREDIENTES!$B:$C,2,FALSE),0)</f>
        <v>59.5</v>
      </c>
      <c r="F27" s="11">
        <f t="shared" si="1"/>
        <v>22.61</v>
      </c>
      <c r="G27" s="43"/>
    </row>
    <row r="28" spans="1:7" x14ac:dyDescent="0.25">
      <c r="A28" s="28"/>
      <c r="C28" s="8"/>
      <c r="D28" s="9"/>
      <c r="E28" s="19">
        <f>IFERROR(VLOOKUP(C28,BDD_INGREDIENTES!$B:$C,2,FALSE),0)</f>
        <v>0</v>
      </c>
      <c r="F28" s="11">
        <f t="shared" si="1"/>
        <v>0</v>
      </c>
      <c r="G28" s="43"/>
    </row>
    <row r="29" spans="1:7" ht="15" x14ac:dyDescent="0.3">
      <c r="A29" s="28"/>
      <c r="C29" s="12" t="s">
        <v>11</v>
      </c>
      <c r="D29" s="13">
        <f>SUM(D24:D28)</f>
        <v>3430</v>
      </c>
      <c r="E29" s="14"/>
      <c r="F29" s="94">
        <f>SUM(F24:F28)</f>
        <v>173.5745</v>
      </c>
      <c r="G29" s="43"/>
    </row>
    <row r="30" spans="1:7" ht="15" x14ac:dyDescent="0.3">
      <c r="A30" s="28"/>
      <c r="D30" s="93">
        <v>90</v>
      </c>
      <c r="E30" s="46"/>
      <c r="F30" s="95">
        <f>(F29*D30)/D29</f>
        <v>4.5544329446064138</v>
      </c>
      <c r="G30" s="43"/>
    </row>
    <row r="31" spans="1:7" x14ac:dyDescent="0.25">
      <c r="A31" s="28"/>
      <c r="E31" s="46"/>
      <c r="F31" s="47"/>
      <c r="G31" s="43"/>
    </row>
    <row r="32" spans="1:7" ht="14" x14ac:dyDescent="0.3">
      <c r="A32" s="28"/>
      <c r="B32" s="44" t="s">
        <v>12</v>
      </c>
      <c r="C32" s="44"/>
      <c r="D32" s="44"/>
      <c r="E32" s="48"/>
      <c r="F32" s="49"/>
      <c r="G32" s="43"/>
    </row>
    <row r="33" spans="1:7" ht="14" x14ac:dyDescent="0.3">
      <c r="A33" s="28"/>
      <c r="C33" s="22"/>
      <c r="D33" s="3" t="s">
        <v>5</v>
      </c>
      <c r="E33" s="16" t="s">
        <v>6</v>
      </c>
      <c r="F33" s="16" t="s">
        <v>7</v>
      </c>
      <c r="G33" s="43"/>
    </row>
    <row r="34" spans="1:7" ht="14" x14ac:dyDescent="0.3">
      <c r="A34" s="28"/>
      <c r="C34" s="23" t="s">
        <v>107</v>
      </c>
      <c r="D34" s="9">
        <v>200</v>
      </c>
      <c r="E34" s="19">
        <v>42.62</v>
      </c>
      <c r="F34" s="11">
        <f t="shared" ref="F34:F36" si="2">E34*(D34/1000)</f>
        <v>8.5239999999999991</v>
      </c>
      <c r="G34" s="43"/>
    </row>
    <row r="35" spans="1:7" x14ac:dyDescent="0.25">
      <c r="A35" s="28"/>
      <c r="C35" s="8" t="s">
        <v>85</v>
      </c>
      <c r="D35" s="9">
        <v>30</v>
      </c>
      <c r="E35" s="19">
        <v>32.369999999999997</v>
      </c>
      <c r="F35" s="11">
        <f t="shared" si="2"/>
        <v>0.97109999999999985</v>
      </c>
      <c r="G35" s="43"/>
    </row>
    <row r="36" spans="1:7" ht="14" x14ac:dyDescent="0.3">
      <c r="A36" s="28"/>
      <c r="C36" s="21"/>
      <c r="D36" s="18"/>
      <c r="E36" s="19"/>
      <c r="F36" s="11">
        <f t="shared" si="2"/>
        <v>0</v>
      </c>
      <c r="G36" s="43"/>
    </row>
    <row r="37" spans="1:7" ht="15" x14ac:dyDescent="0.3">
      <c r="A37" s="28"/>
      <c r="C37" s="12" t="s">
        <v>13</v>
      </c>
      <c r="D37" s="13">
        <f>SUM(D34:D36)</f>
        <v>230</v>
      </c>
      <c r="E37" s="14"/>
      <c r="F37" s="15">
        <f>SUM(F34:F36)</f>
        <v>9.495099999999999</v>
      </c>
      <c r="G37" s="43"/>
    </row>
    <row r="38" spans="1:7" ht="14" thickBot="1" x14ac:dyDescent="0.3">
      <c r="A38" s="28"/>
      <c r="G38" s="43"/>
    </row>
    <row r="39" spans="1:7" ht="17.5" x14ac:dyDescent="0.35">
      <c r="A39" s="28"/>
      <c r="B39" s="24" t="s">
        <v>18</v>
      </c>
      <c r="C39" s="25"/>
      <c r="D39" s="25"/>
      <c r="E39" s="26" t="s">
        <v>5</v>
      </c>
      <c r="F39" s="27" t="s">
        <v>14</v>
      </c>
      <c r="G39" s="43"/>
    </row>
    <row r="40" spans="1:7" x14ac:dyDescent="0.25">
      <c r="A40" s="28"/>
      <c r="B40" s="28" t="s">
        <v>24</v>
      </c>
      <c r="E40" s="50">
        <f>D10+D30+D37+D20</f>
        <v>570</v>
      </c>
      <c r="F40" s="29">
        <f>F37+F30+F10+F20</f>
        <v>18.429038020748546</v>
      </c>
      <c r="G40" s="43"/>
    </row>
    <row r="41" spans="1:7" ht="14" x14ac:dyDescent="0.3">
      <c r="A41" s="28"/>
      <c r="B41" s="28" t="s">
        <v>36</v>
      </c>
      <c r="D41" s="51">
        <v>0</v>
      </c>
      <c r="E41" s="50">
        <f>+E40*(1-D41)</f>
        <v>570</v>
      </c>
      <c r="F41" s="29">
        <f>F40</f>
        <v>18.429038020748546</v>
      </c>
      <c r="G41" s="43"/>
    </row>
    <row r="42" spans="1:7" ht="17.5" x14ac:dyDescent="0.35">
      <c r="A42" s="28"/>
      <c r="B42" s="30" t="s">
        <v>15</v>
      </c>
      <c r="E42" s="144">
        <v>350</v>
      </c>
      <c r="F42" s="145"/>
      <c r="G42" s="43"/>
    </row>
    <row r="43" spans="1:7" ht="17.5" x14ac:dyDescent="0.35">
      <c r="A43" s="28"/>
      <c r="B43" s="30" t="s">
        <v>19</v>
      </c>
      <c r="C43" s="52"/>
      <c r="E43" s="139">
        <f>ROUNDDOWN(E41/E42,0)</f>
        <v>1</v>
      </c>
      <c r="F43" s="140"/>
      <c r="G43" s="43"/>
    </row>
    <row r="44" spans="1:7" ht="17.5" x14ac:dyDescent="0.35">
      <c r="A44" s="28"/>
      <c r="B44" s="31" t="s">
        <v>20</v>
      </c>
      <c r="C44" s="53"/>
      <c r="D44" s="52"/>
      <c r="E44" s="137">
        <f>F41/E43</f>
        <v>18.429038020748546</v>
      </c>
      <c r="F44" s="138"/>
      <c r="G44" s="43"/>
    </row>
    <row r="45" spans="1:7" x14ac:dyDescent="0.25">
      <c r="A45" s="28"/>
      <c r="B45" s="32" t="s">
        <v>21</v>
      </c>
      <c r="C45" s="54"/>
      <c r="D45" s="55"/>
      <c r="E45" s="135">
        <f>E44/(E42/1000)</f>
        <v>52.65439434499585</v>
      </c>
      <c r="F45" s="136"/>
      <c r="G45" s="43"/>
    </row>
    <row r="46" spans="1:7" ht="17.5" x14ac:dyDescent="0.35">
      <c r="A46" s="28"/>
      <c r="B46" s="33" t="s">
        <v>16</v>
      </c>
      <c r="C46" s="56"/>
      <c r="E46" s="133">
        <v>1</v>
      </c>
      <c r="F46" s="134"/>
      <c r="G46" s="43"/>
    </row>
    <row r="47" spans="1:7" ht="18" thickBot="1" x14ac:dyDescent="0.4">
      <c r="A47" s="28"/>
      <c r="B47" s="34" t="s">
        <v>17</v>
      </c>
      <c r="C47" s="35"/>
      <c r="D47" s="36"/>
      <c r="E47" s="131">
        <f>(E44*(1+E46))</f>
        <v>36.858076041497092</v>
      </c>
      <c r="F47" s="132"/>
      <c r="G47" s="43"/>
    </row>
    <row r="48" spans="1:7" x14ac:dyDescent="0.25">
      <c r="A48" s="28"/>
      <c r="G48" s="43"/>
    </row>
    <row r="49" spans="1:9" x14ac:dyDescent="0.25">
      <c r="A49" s="28"/>
      <c r="G49" s="43"/>
    </row>
    <row r="50" spans="1:9" ht="19.5" x14ac:dyDescent="0.35">
      <c r="A50" s="28"/>
      <c r="B50" s="57" t="s">
        <v>25</v>
      </c>
      <c r="C50" s="58"/>
      <c r="D50" s="58"/>
      <c r="E50" s="58"/>
      <c r="F50" s="58"/>
      <c r="G50" s="43"/>
    </row>
    <row r="51" spans="1:9" x14ac:dyDescent="0.25">
      <c r="A51" s="28"/>
      <c r="G51" s="43"/>
    </row>
    <row r="52" spans="1:9" ht="16" x14ac:dyDescent="0.25">
      <c r="A52" s="28"/>
      <c r="B52" s="59" t="s">
        <v>166</v>
      </c>
      <c r="C52" s="37"/>
      <c r="D52" s="37"/>
      <c r="E52" s="37"/>
      <c r="F52" s="37"/>
      <c r="G52" s="60"/>
      <c r="H52" s="37"/>
    </row>
    <row r="53" spans="1:9" ht="78.650000000000006" customHeight="1" x14ac:dyDescent="0.25">
      <c r="A53" s="28"/>
      <c r="B53" s="129" t="s">
        <v>172</v>
      </c>
      <c r="C53" s="129"/>
      <c r="D53" s="129"/>
      <c r="E53" s="129"/>
      <c r="F53" s="129"/>
      <c r="G53" s="61"/>
      <c r="H53" s="38"/>
    </row>
    <row r="54" spans="1:9" x14ac:dyDescent="0.25">
      <c r="A54" s="28"/>
      <c r="G54" s="43"/>
    </row>
    <row r="55" spans="1:9" ht="16" x14ac:dyDescent="0.25">
      <c r="A55" s="28"/>
      <c r="B55" s="59" t="s">
        <v>169</v>
      </c>
      <c r="C55" s="37"/>
      <c r="D55" s="37"/>
      <c r="E55" s="37"/>
      <c r="F55" s="37"/>
      <c r="G55" s="60"/>
      <c r="H55" s="37"/>
      <c r="I55" s="37"/>
    </row>
    <row r="56" spans="1:9" ht="78.650000000000006" customHeight="1" x14ac:dyDescent="0.25">
      <c r="A56" s="28"/>
      <c r="B56" s="129" t="s">
        <v>173</v>
      </c>
      <c r="C56" s="129"/>
      <c r="D56" s="129"/>
      <c r="E56" s="129"/>
      <c r="F56" s="129"/>
      <c r="G56" s="65"/>
      <c r="H56" s="66"/>
      <c r="I56" s="66"/>
    </row>
    <row r="57" spans="1:9" x14ac:dyDescent="0.25">
      <c r="A57" s="28"/>
      <c r="G57" s="43"/>
    </row>
    <row r="58" spans="1:9" ht="16" x14ac:dyDescent="0.25">
      <c r="A58" s="28"/>
      <c r="B58" s="59" t="s">
        <v>170</v>
      </c>
      <c r="C58" s="37"/>
      <c r="D58" s="37"/>
      <c r="E58" s="37"/>
      <c r="F58" s="37"/>
      <c r="G58" s="60"/>
      <c r="H58" s="37"/>
      <c r="I58" s="37"/>
    </row>
    <row r="59" spans="1:9" ht="112" customHeight="1" x14ac:dyDescent="0.25">
      <c r="A59" s="28"/>
      <c r="B59" s="129" t="s">
        <v>174</v>
      </c>
      <c r="C59" s="129"/>
      <c r="D59" s="129"/>
      <c r="E59" s="129"/>
      <c r="F59" s="129"/>
      <c r="G59" s="65"/>
      <c r="H59" s="66"/>
      <c r="I59" s="66"/>
    </row>
    <row r="60" spans="1:9" ht="14" thickBot="1" x14ac:dyDescent="0.3">
      <c r="A60" s="62"/>
      <c r="B60" s="63"/>
      <c r="C60" s="63"/>
      <c r="D60" s="63"/>
      <c r="E60" s="63"/>
      <c r="F60" s="63"/>
      <c r="G60" s="64"/>
    </row>
    <row r="131" spans="2:6" ht="14.5" x14ac:dyDescent="0.35">
      <c r="B131"/>
      <c r="C131"/>
      <c r="D131"/>
      <c r="E131"/>
      <c r="F131"/>
    </row>
    <row r="132" spans="2:6" ht="14.5" x14ac:dyDescent="0.35">
      <c r="B132"/>
      <c r="C132"/>
      <c r="D132"/>
      <c r="E132"/>
      <c r="F132"/>
    </row>
    <row r="133" spans="2:6" ht="14.5" x14ac:dyDescent="0.35">
      <c r="B133"/>
      <c r="C133"/>
      <c r="D133"/>
      <c r="E133"/>
      <c r="F133"/>
    </row>
    <row r="134" spans="2:6" ht="14.5" x14ac:dyDescent="0.35">
      <c r="B134"/>
      <c r="C134"/>
      <c r="D134"/>
      <c r="E134"/>
      <c r="F134"/>
    </row>
    <row r="135" spans="2:6" ht="14.5" x14ac:dyDescent="0.35">
      <c r="B135"/>
      <c r="C135"/>
      <c r="D135"/>
      <c r="E135"/>
      <c r="F135"/>
    </row>
    <row r="136" spans="2:6" ht="14.5" x14ac:dyDescent="0.35">
      <c r="B136"/>
      <c r="C136"/>
      <c r="D136"/>
      <c r="E136"/>
      <c r="F136"/>
    </row>
    <row r="137" spans="2:6" ht="14.5" x14ac:dyDescent="0.35">
      <c r="B137"/>
      <c r="C137"/>
      <c r="D137"/>
      <c r="E137"/>
      <c r="F137"/>
    </row>
    <row r="138" spans="2:6" ht="14.5" x14ac:dyDescent="0.35">
      <c r="B138"/>
      <c r="C138"/>
      <c r="D138"/>
      <c r="E138"/>
      <c r="F138"/>
    </row>
    <row r="139" spans="2:6" ht="14.5" x14ac:dyDescent="0.35">
      <c r="B139"/>
      <c r="C139"/>
      <c r="D139"/>
      <c r="E139"/>
      <c r="F139"/>
    </row>
    <row r="140" spans="2:6" ht="14.5" x14ac:dyDescent="0.35">
      <c r="B140"/>
      <c r="C140"/>
      <c r="D140"/>
      <c r="E140"/>
      <c r="F140"/>
    </row>
  </sheetData>
  <mergeCells count="10">
    <mergeCell ref="E47:F47"/>
    <mergeCell ref="B53:F53"/>
    <mergeCell ref="B56:F56"/>
    <mergeCell ref="B59:F59"/>
    <mergeCell ref="C2:D2"/>
    <mergeCell ref="E42:F42"/>
    <mergeCell ref="E43:F43"/>
    <mergeCell ref="E44:F44"/>
    <mergeCell ref="E45:F45"/>
    <mergeCell ref="E46:F46"/>
  </mergeCells>
  <pageMargins left="0.25" right="0.25" top="0.75" bottom="0.75" header="0.3" footer="0.3"/>
  <pageSetup paperSize="9" scale="60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5122B-80FD-4E9F-B6D8-AAD6C085C59D}">
  <sheetPr>
    <tabColor rgb="FF541C00"/>
    <pageSetUpPr fitToPage="1"/>
  </sheetPr>
  <dimension ref="A1:K135"/>
  <sheetViews>
    <sheetView showGridLines="0" topLeftCell="A10" zoomScale="70" zoomScaleNormal="70" workbookViewId="0">
      <selection activeCell="E25" sqref="E25"/>
    </sheetView>
  </sheetViews>
  <sheetFormatPr defaultColWidth="0" defaultRowHeight="13.5" x14ac:dyDescent="0.25"/>
  <cols>
    <col min="1" max="1" width="2.08984375" style="2" customWidth="1"/>
    <col min="2" max="2" width="1.81640625" style="2" customWidth="1"/>
    <col min="3" max="3" width="52.90625" style="2" customWidth="1"/>
    <col min="4" max="6" width="16.08984375" style="2" customWidth="1"/>
    <col min="7" max="7" width="2.08984375" style="2" customWidth="1"/>
    <col min="8" max="8" width="8.90625" style="2" customWidth="1"/>
    <col min="9" max="11" width="0" style="2" hidden="1" customWidth="1"/>
    <col min="12" max="16384" width="8.90625" style="2" hidden="1"/>
  </cols>
  <sheetData>
    <row r="1" spans="1:11" ht="14.5" x14ac:dyDescent="0.35">
      <c r="A1" s="39"/>
      <c r="B1" s="25"/>
      <c r="C1" s="40"/>
      <c r="D1" s="25"/>
      <c r="E1" s="25"/>
      <c r="F1" s="25"/>
      <c r="G1" s="41"/>
    </row>
    <row r="2" spans="1:11" ht="54" customHeight="1" x14ac:dyDescent="0.25">
      <c r="A2" s="28"/>
      <c r="C2" s="130" t="s">
        <v>74</v>
      </c>
      <c r="D2" s="130"/>
      <c r="E2" s="42"/>
      <c r="G2" s="43"/>
    </row>
    <row r="3" spans="1:11" x14ac:dyDescent="0.25">
      <c r="A3" s="28"/>
      <c r="G3" s="43"/>
    </row>
    <row r="4" spans="1:11" ht="0.65" customHeight="1" x14ac:dyDescent="0.25">
      <c r="A4" s="28"/>
      <c r="G4" s="43"/>
    </row>
    <row r="5" spans="1:11" x14ac:dyDescent="0.25">
      <c r="A5" s="28"/>
      <c r="G5" s="43"/>
    </row>
    <row r="6" spans="1:11" ht="14.4" customHeight="1" x14ac:dyDescent="0.3">
      <c r="A6" s="28"/>
      <c r="B6" s="44" t="s">
        <v>4</v>
      </c>
      <c r="C6" s="44"/>
      <c r="D6" s="44"/>
      <c r="E6" s="44"/>
      <c r="F6" s="44"/>
      <c r="G6" s="43"/>
    </row>
    <row r="7" spans="1:11" ht="14" x14ac:dyDescent="0.3">
      <c r="A7" s="28"/>
      <c r="C7" s="44"/>
      <c r="D7" s="45" t="s">
        <v>5</v>
      </c>
      <c r="E7" s="3" t="s">
        <v>6</v>
      </c>
      <c r="F7" s="45" t="s">
        <v>7</v>
      </c>
      <c r="G7" s="43"/>
    </row>
    <row r="8" spans="1:11" ht="14" x14ac:dyDescent="0.3">
      <c r="A8" s="28"/>
      <c r="C8" s="99" t="s">
        <v>111</v>
      </c>
      <c r="D8" s="5"/>
      <c r="E8" s="19"/>
      <c r="F8" s="7"/>
      <c r="G8" s="43"/>
    </row>
    <row r="9" spans="1:11" x14ac:dyDescent="0.25">
      <c r="A9" s="28"/>
      <c r="C9" s="85" t="s">
        <v>48</v>
      </c>
      <c r="D9" s="9">
        <v>550</v>
      </c>
      <c r="E9" s="19">
        <v>4.29</v>
      </c>
      <c r="F9" s="11">
        <f t="shared" ref="F9:F17" si="0">E9*(D9/1000)</f>
        <v>2.3595000000000002</v>
      </c>
      <c r="G9" s="43"/>
      <c r="I9" s="2" t="s">
        <v>34</v>
      </c>
      <c r="K9" s="2" t="s">
        <v>35</v>
      </c>
    </row>
    <row r="10" spans="1:11" x14ac:dyDescent="0.25">
      <c r="A10" s="28"/>
      <c r="C10" s="8" t="s">
        <v>99</v>
      </c>
      <c r="D10" s="9">
        <v>330</v>
      </c>
      <c r="E10" s="19">
        <f>IFERROR(VLOOKUP(C10,BDD_INGREDIENTES!$B:$C,2,FALSE),0)</f>
        <v>0</v>
      </c>
      <c r="F10" s="11">
        <f t="shared" si="0"/>
        <v>0</v>
      </c>
      <c r="G10" s="43"/>
    </row>
    <row r="11" spans="1:11" x14ac:dyDescent="0.25">
      <c r="A11" s="28"/>
      <c r="C11" s="8" t="s">
        <v>2</v>
      </c>
      <c r="D11" s="9">
        <v>120</v>
      </c>
      <c r="E11" s="19">
        <f>8.5*2</f>
        <v>17</v>
      </c>
      <c r="F11" s="11">
        <f t="shared" si="0"/>
        <v>2.04</v>
      </c>
      <c r="G11" s="43"/>
    </row>
    <row r="12" spans="1:11" x14ac:dyDescent="0.25">
      <c r="A12" s="28"/>
      <c r="C12" s="8"/>
      <c r="D12" s="9"/>
      <c r="E12" s="19"/>
      <c r="F12" s="11"/>
      <c r="G12" s="43"/>
    </row>
    <row r="13" spans="1:11" ht="14" x14ac:dyDescent="0.3">
      <c r="A13" s="28"/>
      <c r="C13" s="67" t="s">
        <v>110</v>
      </c>
      <c r="D13" s="9"/>
      <c r="E13" s="19"/>
      <c r="F13" s="11"/>
      <c r="G13" s="43"/>
    </row>
    <row r="14" spans="1:11" ht="14" x14ac:dyDescent="0.3">
      <c r="A14" s="28"/>
      <c r="C14" s="23" t="s">
        <v>108</v>
      </c>
      <c r="D14" s="9">
        <v>2500</v>
      </c>
      <c r="E14" s="19">
        <v>19.16</v>
      </c>
      <c r="F14" s="11">
        <f t="shared" si="0"/>
        <v>47.9</v>
      </c>
      <c r="G14" s="43"/>
    </row>
    <row r="15" spans="1:11" x14ac:dyDescent="0.25">
      <c r="A15" s="28"/>
      <c r="C15" s="8" t="s">
        <v>99</v>
      </c>
      <c r="D15" s="9">
        <v>925</v>
      </c>
      <c r="E15" s="19">
        <f>IFERROR(VLOOKUP(C15,BDD_INGREDIENTES!$B:$C,2,FALSE),0)</f>
        <v>0</v>
      </c>
      <c r="F15" s="11">
        <f t="shared" si="0"/>
        <v>0</v>
      </c>
      <c r="G15" s="43"/>
    </row>
    <row r="16" spans="1:11" ht="14" x14ac:dyDescent="0.3">
      <c r="A16" s="28"/>
      <c r="C16" s="21" t="s">
        <v>32</v>
      </c>
      <c r="D16" s="18">
        <v>1800</v>
      </c>
      <c r="E16" s="19">
        <v>77.61</v>
      </c>
      <c r="F16" s="11">
        <f t="shared" si="0"/>
        <v>139.69800000000001</v>
      </c>
      <c r="G16" s="43"/>
    </row>
    <row r="17" spans="1:7" x14ac:dyDescent="0.25">
      <c r="A17" s="28"/>
      <c r="C17" s="17" t="s">
        <v>109</v>
      </c>
      <c r="D17" s="18">
        <v>1800</v>
      </c>
      <c r="E17" s="19">
        <v>148.5</v>
      </c>
      <c r="F17" s="11">
        <f t="shared" si="0"/>
        <v>267.3</v>
      </c>
      <c r="G17" s="43"/>
    </row>
    <row r="18" spans="1:7" x14ac:dyDescent="0.25">
      <c r="A18" s="28"/>
      <c r="C18" s="17"/>
      <c r="D18" s="18"/>
      <c r="E18" s="19"/>
      <c r="F18" s="20"/>
      <c r="G18" s="43"/>
    </row>
    <row r="19" spans="1:7" ht="15" x14ac:dyDescent="0.3">
      <c r="A19" s="28"/>
      <c r="C19" s="12" t="s">
        <v>8</v>
      </c>
      <c r="D19" s="13">
        <f>SUM(D8:D18)</f>
        <v>8025</v>
      </c>
      <c r="E19" s="14"/>
      <c r="F19" s="15">
        <f>SUM(F8:F18)</f>
        <v>459.29750000000001</v>
      </c>
      <c r="G19" s="43"/>
    </row>
    <row r="20" spans="1:7" x14ac:dyDescent="0.25">
      <c r="A20" s="28"/>
      <c r="E20" s="46"/>
      <c r="F20" s="47"/>
      <c r="G20" s="43"/>
    </row>
    <row r="21" spans="1:7" x14ac:dyDescent="0.25">
      <c r="A21" s="28"/>
      <c r="E21" s="46"/>
      <c r="F21" s="47"/>
      <c r="G21" s="43"/>
    </row>
    <row r="22" spans="1:7" ht="14.4" customHeight="1" x14ac:dyDescent="0.3">
      <c r="A22" s="28"/>
      <c r="B22" s="44" t="s">
        <v>9</v>
      </c>
      <c r="C22" s="44"/>
      <c r="D22" s="44"/>
      <c r="E22" s="48"/>
      <c r="F22" s="49"/>
      <c r="G22" s="43"/>
    </row>
    <row r="23" spans="1:7" ht="14" x14ac:dyDescent="0.3">
      <c r="A23" s="28"/>
      <c r="C23" s="44"/>
      <c r="D23" s="45" t="s">
        <v>5</v>
      </c>
      <c r="E23" s="16" t="s">
        <v>6</v>
      </c>
      <c r="F23" s="49" t="s">
        <v>7</v>
      </c>
      <c r="G23" s="43"/>
    </row>
    <row r="24" spans="1:7" ht="14" x14ac:dyDescent="0.3">
      <c r="A24" s="28"/>
      <c r="C24" s="23" t="s">
        <v>112</v>
      </c>
      <c r="D24" s="9">
        <v>2500</v>
      </c>
      <c r="E24" s="19">
        <v>0</v>
      </c>
      <c r="F24" s="11">
        <f>E24*(D24/1000)</f>
        <v>0</v>
      </c>
      <c r="G24" s="43"/>
    </row>
    <row r="25" spans="1:7" x14ac:dyDescent="0.25">
      <c r="A25" s="28"/>
      <c r="C25" s="17"/>
      <c r="D25" s="18"/>
      <c r="E25" s="19"/>
      <c r="F25" s="20"/>
      <c r="G25" s="43"/>
    </row>
    <row r="26" spans="1:7" ht="15" x14ac:dyDescent="0.3">
      <c r="A26" s="28"/>
      <c r="C26" s="12" t="s">
        <v>11</v>
      </c>
      <c r="D26" s="13">
        <f>SUM(D24:D25)</f>
        <v>2500</v>
      </c>
      <c r="E26" s="14"/>
      <c r="F26" s="15">
        <f>SUM(F24:F25)</f>
        <v>0</v>
      </c>
      <c r="G26" s="43"/>
    </row>
    <row r="27" spans="1:7" x14ac:dyDescent="0.25">
      <c r="A27" s="28"/>
      <c r="E27" s="46"/>
      <c r="F27" s="47"/>
      <c r="G27" s="43"/>
    </row>
    <row r="28" spans="1:7" x14ac:dyDescent="0.25">
      <c r="A28" s="28"/>
      <c r="E28" s="46"/>
      <c r="F28" s="47"/>
      <c r="G28" s="43"/>
    </row>
    <row r="29" spans="1:7" ht="14" x14ac:dyDescent="0.3">
      <c r="A29" s="28"/>
      <c r="B29" s="44" t="s">
        <v>12</v>
      </c>
      <c r="C29" s="44"/>
      <c r="D29" s="44"/>
      <c r="E29" s="48"/>
      <c r="F29" s="49"/>
      <c r="G29" s="43"/>
    </row>
    <row r="30" spans="1:7" ht="14" x14ac:dyDescent="0.3">
      <c r="A30" s="28"/>
      <c r="C30" s="22"/>
      <c r="D30" s="3" t="s">
        <v>5</v>
      </c>
      <c r="E30" s="16" t="s">
        <v>6</v>
      </c>
      <c r="F30" s="16" t="s">
        <v>7</v>
      </c>
      <c r="G30" s="43"/>
    </row>
    <row r="31" spans="1:7" ht="14" x14ac:dyDescent="0.3">
      <c r="A31" s="28"/>
      <c r="C31" s="23" t="s">
        <v>113</v>
      </c>
      <c r="D31" s="9">
        <v>1400</v>
      </c>
      <c r="E31" s="19">
        <v>57.26</v>
      </c>
      <c r="F31" s="11">
        <f t="shared" ref="F31:F32" si="1">E31*(D31/1000)</f>
        <v>80.163999999999987</v>
      </c>
      <c r="G31" s="43"/>
    </row>
    <row r="32" spans="1:7" x14ac:dyDescent="0.25">
      <c r="A32" s="28"/>
      <c r="C32" s="8" t="s">
        <v>109</v>
      </c>
      <c r="D32" s="9">
        <v>600</v>
      </c>
      <c r="E32" s="19">
        <v>148.5</v>
      </c>
      <c r="F32" s="11">
        <f t="shared" si="1"/>
        <v>89.1</v>
      </c>
      <c r="G32" s="43"/>
    </row>
    <row r="33" spans="1:7" x14ac:dyDescent="0.25">
      <c r="A33" s="28"/>
      <c r="C33" s="8"/>
      <c r="D33" s="9"/>
      <c r="E33" s="19"/>
      <c r="F33" s="11"/>
      <c r="G33" s="43"/>
    </row>
    <row r="34" spans="1:7" ht="15" x14ac:dyDescent="0.3">
      <c r="A34" s="28"/>
      <c r="C34" s="12" t="s">
        <v>13</v>
      </c>
      <c r="D34" s="13">
        <f>SUM(D31:D33)</f>
        <v>2000</v>
      </c>
      <c r="E34" s="14"/>
      <c r="F34" s="15">
        <f>SUM(F31:F33)</f>
        <v>169.26399999999998</v>
      </c>
      <c r="G34" s="43"/>
    </row>
    <row r="35" spans="1:7" ht="14" thickBot="1" x14ac:dyDescent="0.3">
      <c r="A35" s="28"/>
      <c r="G35" s="43"/>
    </row>
    <row r="36" spans="1:7" ht="17.5" x14ac:dyDescent="0.35">
      <c r="A36" s="28"/>
      <c r="B36" s="24" t="s">
        <v>18</v>
      </c>
      <c r="C36" s="25"/>
      <c r="D36" s="25"/>
      <c r="E36" s="26" t="s">
        <v>5</v>
      </c>
      <c r="F36" s="27" t="s">
        <v>14</v>
      </c>
      <c r="G36" s="43"/>
    </row>
    <row r="37" spans="1:7" x14ac:dyDescent="0.25">
      <c r="A37" s="28"/>
      <c r="B37" s="28" t="s">
        <v>24</v>
      </c>
      <c r="E37" s="50">
        <f>D19+D26+D34</f>
        <v>12525</v>
      </c>
      <c r="F37" s="29">
        <f>F34+F26+F19</f>
        <v>628.56150000000002</v>
      </c>
      <c r="G37" s="43"/>
    </row>
    <row r="38" spans="1:7" ht="14" x14ac:dyDescent="0.3">
      <c r="A38" s="28"/>
      <c r="B38" s="28" t="s">
        <v>36</v>
      </c>
      <c r="D38" s="51">
        <v>0</v>
      </c>
      <c r="E38" s="50">
        <f>+E37*(1-D38)</f>
        <v>12525</v>
      </c>
      <c r="F38" s="29">
        <f>F37</f>
        <v>628.56150000000002</v>
      </c>
      <c r="G38" s="43"/>
    </row>
    <row r="39" spans="1:7" ht="17.5" x14ac:dyDescent="0.35">
      <c r="A39" s="28"/>
      <c r="B39" s="30" t="s">
        <v>15</v>
      </c>
      <c r="E39" s="144">
        <v>800</v>
      </c>
      <c r="F39" s="145"/>
      <c r="G39" s="43"/>
    </row>
    <row r="40" spans="1:7" ht="17.5" x14ac:dyDescent="0.35">
      <c r="A40" s="28"/>
      <c r="B40" s="30" t="s">
        <v>19</v>
      </c>
      <c r="C40" s="52"/>
      <c r="E40" s="139">
        <f>ROUNDDOWN(E38/E39,0)</f>
        <v>15</v>
      </c>
      <c r="F40" s="140"/>
      <c r="G40" s="43"/>
    </row>
    <row r="41" spans="1:7" ht="17.5" x14ac:dyDescent="0.35">
      <c r="A41" s="28"/>
      <c r="B41" s="31" t="s">
        <v>20</v>
      </c>
      <c r="C41" s="53"/>
      <c r="D41" s="52"/>
      <c r="E41" s="137">
        <f>F38/E40</f>
        <v>41.9041</v>
      </c>
      <c r="F41" s="138"/>
      <c r="G41" s="43"/>
    </row>
    <row r="42" spans="1:7" x14ac:dyDescent="0.25">
      <c r="A42" s="28"/>
      <c r="B42" s="32" t="s">
        <v>21</v>
      </c>
      <c r="C42" s="54"/>
      <c r="D42" s="55"/>
      <c r="E42" s="135">
        <f>E41/(E39/1000)</f>
        <v>52.380125</v>
      </c>
      <c r="F42" s="136"/>
      <c r="G42" s="43"/>
    </row>
    <row r="43" spans="1:7" ht="17.5" x14ac:dyDescent="0.35">
      <c r="A43" s="28"/>
      <c r="B43" s="33" t="s">
        <v>16</v>
      </c>
      <c r="C43" s="56"/>
      <c r="E43" s="133">
        <v>1</v>
      </c>
      <c r="F43" s="134"/>
      <c r="G43" s="43"/>
    </row>
    <row r="44" spans="1:7" ht="18" thickBot="1" x14ac:dyDescent="0.4">
      <c r="A44" s="28"/>
      <c r="B44" s="34" t="s">
        <v>17</v>
      </c>
      <c r="C44" s="35"/>
      <c r="D44" s="36"/>
      <c r="E44" s="131">
        <f>(E41*(1+E43))</f>
        <v>83.808199999999999</v>
      </c>
      <c r="F44" s="132"/>
      <c r="G44" s="43"/>
    </row>
    <row r="45" spans="1:7" x14ac:dyDescent="0.25">
      <c r="A45" s="28"/>
      <c r="G45" s="43"/>
    </row>
    <row r="46" spans="1:7" x14ac:dyDescent="0.25">
      <c r="A46" s="28"/>
      <c r="G46" s="43"/>
    </row>
    <row r="47" spans="1:7" ht="19.5" x14ac:dyDescent="0.35">
      <c r="A47" s="28"/>
      <c r="B47" s="57" t="s">
        <v>25</v>
      </c>
      <c r="C47" s="58"/>
      <c r="D47" s="58"/>
      <c r="E47" s="58"/>
      <c r="F47" s="58"/>
      <c r="G47" s="43"/>
    </row>
    <row r="48" spans="1:7" x14ac:dyDescent="0.25">
      <c r="A48" s="28"/>
      <c r="G48" s="43"/>
    </row>
    <row r="49" spans="1:9" ht="16" x14ac:dyDescent="0.25">
      <c r="A49" s="28"/>
      <c r="B49" s="59" t="s">
        <v>26</v>
      </c>
      <c r="C49" s="37"/>
      <c r="D49" s="37"/>
      <c r="E49" s="37"/>
      <c r="F49" s="37"/>
      <c r="G49" s="60"/>
      <c r="H49" s="37"/>
    </row>
    <row r="50" spans="1:9" ht="147" customHeight="1" x14ac:dyDescent="0.25">
      <c r="A50" s="28"/>
      <c r="B50" s="129" t="s">
        <v>175</v>
      </c>
      <c r="C50" s="129"/>
      <c r="D50" s="129"/>
      <c r="E50" s="129"/>
      <c r="F50" s="129"/>
      <c r="G50" s="61"/>
      <c r="H50" s="38"/>
    </row>
    <row r="51" spans="1:9" x14ac:dyDescent="0.25">
      <c r="A51" s="28"/>
      <c r="G51" s="43"/>
    </row>
    <row r="52" spans="1:9" ht="16" x14ac:dyDescent="0.25">
      <c r="A52" s="28"/>
      <c r="B52" s="59" t="s">
        <v>27</v>
      </c>
      <c r="C52" s="37"/>
      <c r="D52" s="37"/>
      <c r="E52" s="37"/>
      <c r="F52" s="37"/>
      <c r="G52" s="60"/>
      <c r="H52" s="37"/>
      <c r="I52" s="37"/>
    </row>
    <row r="53" spans="1:9" ht="78.650000000000006" customHeight="1" x14ac:dyDescent="0.25">
      <c r="A53" s="28"/>
      <c r="B53" s="129" t="s">
        <v>176</v>
      </c>
      <c r="C53" s="129"/>
      <c r="D53" s="129"/>
      <c r="E53" s="129"/>
      <c r="F53" s="129"/>
      <c r="G53" s="65"/>
      <c r="H53" s="66"/>
      <c r="I53" s="66"/>
    </row>
    <row r="54" spans="1:9" x14ac:dyDescent="0.25">
      <c r="A54" s="28"/>
      <c r="G54" s="43"/>
    </row>
    <row r="55" spans="1:9" ht="16" x14ac:dyDescent="0.25">
      <c r="A55" s="28"/>
      <c r="B55" s="59" t="s">
        <v>41</v>
      </c>
      <c r="C55" s="37"/>
      <c r="D55" s="37"/>
      <c r="E55" s="37"/>
      <c r="F55" s="37"/>
      <c r="G55" s="60"/>
      <c r="H55" s="37"/>
      <c r="I55" s="37"/>
    </row>
    <row r="56" spans="1:9" ht="78.650000000000006" customHeight="1" x14ac:dyDescent="0.25">
      <c r="A56" s="28"/>
      <c r="B56" s="129" t="s">
        <v>177</v>
      </c>
      <c r="C56" s="129"/>
      <c r="D56" s="129"/>
      <c r="E56" s="129"/>
      <c r="F56" s="129"/>
      <c r="G56" s="65"/>
      <c r="H56" s="66"/>
      <c r="I56" s="66"/>
    </row>
    <row r="57" spans="1:9" ht="14" thickBot="1" x14ac:dyDescent="0.3">
      <c r="A57" s="62"/>
      <c r="B57" s="63"/>
      <c r="C57" s="63"/>
      <c r="D57" s="63"/>
      <c r="E57" s="63"/>
      <c r="F57" s="63"/>
      <c r="G57" s="64"/>
    </row>
    <row r="126" spans="2:6" ht="14.5" x14ac:dyDescent="0.35">
      <c r="B126"/>
      <c r="C126"/>
      <c r="D126"/>
      <c r="E126"/>
      <c r="F126"/>
    </row>
    <row r="127" spans="2:6" ht="14.5" x14ac:dyDescent="0.35">
      <c r="B127"/>
      <c r="C127"/>
      <c r="D127"/>
      <c r="E127"/>
      <c r="F127"/>
    </row>
    <row r="128" spans="2:6" ht="14.5" x14ac:dyDescent="0.35">
      <c r="B128"/>
      <c r="C128"/>
      <c r="D128"/>
      <c r="E128"/>
      <c r="F128"/>
    </row>
    <row r="129" spans="2:6" ht="14.5" x14ac:dyDescent="0.35">
      <c r="B129"/>
      <c r="C129"/>
      <c r="D129"/>
      <c r="E129"/>
      <c r="F129"/>
    </row>
    <row r="130" spans="2:6" ht="14.5" x14ac:dyDescent="0.35">
      <c r="B130"/>
      <c r="C130"/>
      <c r="D130"/>
      <c r="E130"/>
      <c r="F130"/>
    </row>
    <row r="131" spans="2:6" ht="14.5" x14ac:dyDescent="0.35">
      <c r="B131"/>
      <c r="C131"/>
      <c r="D131"/>
      <c r="E131"/>
      <c r="F131"/>
    </row>
    <row r="132" spans="2:6" ht="14.5" x14ac:dyDescent="0.35">
      <c r="B132"/>
      <c r="C132"/>
      <c r="D132"/>
      <c r="E132"/>
      <c r="F132"/>
    </row>
    <row r="133" spans="2:6" ht="14.5" x14ac:dyDescent="0.35">
      <c r="B133"/>
      <c r="C133"/>
      <c r="D133"/>
      <c r="E133"/>
      <c r="F133"/>
    </row>
    <row r="134" spans="2:6" ht="14.5" x14ac:dyDescent="0.35">
      <c r="B134"/>
      <c r="C134"/>
      <c r="D134"/>
      <c r="E134"/>
      <c r="F134"/>
    </row>
    <row r="135" spans="2:6" ht="14.5" x14ac:dyDescent="0.35">
      <c r="B135"/>
      <c r="C135"/>
      <c r="D135"/>
      <c r="E135"/>
      <c r="F135"/>
    </row>
  </sheetData>
  <mergeCells count="10">
    <mergeCell ref="C2:D2"/>
    <mergeCell ref="E39:F39"/>
    <mergeCell ref="E40:F40"/>
    <mergeCell ref="E41:F41"/>
    <mergeCell ref="E44:F44"/>
    <mergeCell ref="B50:F50"/>
    <mergeCell ref="B53:F53"/>
    <mergeCell ref="B56:F56"/>
    <mergeCell ref="E42:F42"/>
    <mergeCell ref="E43:F43"/>
  </mergeCells>
  <pageMargins left="0.25" right="0.25" top="0.75" bottom="0.75" header="0.3" footer="0.3"/>
  <pageSetup paperSize="9" scale="60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09ED1-E19B-4A3D-BD1E-6D5875C6E762}">
  <sheetPr>
    <tabColor rgb="FF541C00"/>
    <pageSetUpPr fitToPage="1"/>
  </sheetPr>
  <dimension ref="A1:K139"/>
  <sheetViews>
    <sheetView showGridLines="0" topLeftCell="A2" zoomScale="70" zoomScaleNormal="70" workbookViewId="0">
      <selection activeCell="E23" sqref="E23"/>
    </sheetView>
  </sheetViews>
  <sheetFormatPr defaultColWidth="0" defaultRowHeight="13.5" x14ac:dyDescent="0.25"/>
  <cols>
    <col min="1" max="1" width="2.08984375" style="2" customWidth="1"/>
    <col min="2" max="2" width="1.81640625" style="2" customWidth="1"/>
    <col min="3" max="3" width="52.90625" style="2" customWidth="1"/>
    <col min="4" max="6" width="16.08984375" style="2" customWidth="1"/>
    <col min="7" max="7" width="2.08984375" style="2" customWidth="1"/>
    <col min="8" max="8" width="8.90625" style="2" customWidth="1"/>
    <col min="9" max="11" width="0" style="2" hidden="1" customWidth="1"/>
    <col min="12" max="16384" width="8.90625" style="2" hidden="1"/>
  </cols>
  <sheetData>
    <row r="1" spans="1:11" ht="14.5" x14ac:dyDescent="0.35">
      <c r="A1" s="39"/>
      <c r="B1" s="25"/>
      <c r="C1" s="40"/>
      <c r="D1" s="25"/>
      <c r="E1" s="25"/>
      <c r="F1" s="25"/>
      <c r="G1" s="41"/>
    </row>
    <row r="2" spans="1:11" ht="54" customHeight="1" x14ac:dyDescent="0.25">
      <c r="A2" s="28"/>
      <c r="C2" s="130" t="s">
        <v>75</v>
      </c>
      <c r="D2" s="130"/>
      <c r="E2" s="42"/>
      <c r="G2" s="43"/>
    </row>
    <row r="3" spans="1:11" x14ac:dyDescent="0.25">
      <c r="A3" s="28"/>
      <c r="G3" s="43"/>
    </row>
    <row r="4" spans="1:11" ht="0.65" customHeight="1" x14ac:dyDescent="0.25">
      <c r="A4" s="28"/>
      <c r="G4" s="43"/>
    </row>
    <row r="5" spans="1:11" x14ac:dyDescent="0.25">
      <c r="A5" s="28"/>
      <c r="G5" s="43"/>
    </row>
    <row r="6" spans="1:11" ht="14.4" customHeight="1" x14ac:dyDescent="0.3">
      <c r="A6" s="28"/>
      <c r="B6" s="44" t="s">
        <v>4</v>
      </c>
      <c r="C6" s="44"/>
      <c r="D6" s="44"/>
      <c r="E6" s="44"/>
      <c r="F6" s="44"/>
      <c r="G6" s="43"/>
    </row>
    <row r="7" spans="1:11" ht="14" x14ac:dyDescent="0.3">
      <c r="A7" s="28"/>
      <c r="C7" s="44"/>
      <c r="D7" s="45" t="s">
        <v>5</v>
      </c>
      <c r="E7" s="3" t="s">
        <v>6</v>
      </c>
      <c r="F7" s="45" t="s">
        <v>7</v>
      </c>
      <c r="G7" s="43"/>
    </row>
    <row r="8" spans="1:11" x14ac:dyDescent="0.25">
      <c r="A8" s="28"/>
      <c r="C8" s="97" t="s">
        <v>64</v>
      </c>
      <c r="D8" s="5">
        <v>150</v>
      </c>
      <c r="E8" s="19">
        <v>59.5</v>
      </c>
      <c r="F8" s="7">
        <f>E8*(D8/1000)</f>
        <v>8.9249999999999989</v>
      </c>
      <c r="G8" s="43"/>
    </row>
    <row r="9" spans="1:11" x14ac:dyDescent="0.25">
      <c r="A9" s="28"/>
      <c r="C9" s="8" t="s">
        <v>101</v>
      </c>
      <c r="D9" s="9">
        <v>50</v>
      </c>
      <c r="E9" s="19">
        <f>IFERROR(VLOOKUP(C9,BDD_INGREDIENTES!$B:$C,2,FALSE),0)</f>
        <v>3.59</v>
      </c>
      <c r="F9" s="11">
        <f t="shared" ref="F9:F15" si="0">E9*(D9/1000)</f>
        <v>0.17949999999999999</v>
      </c>
      <c r="G9" s="43"/>
      <c r="I9" s="2" t="s">
        <v>34</v>
      </c>
      <c r="K9" s="2" t="s">
        <v>35</v>
      </c>
    </row>
    <row r="10" spans="1:11" x14ac:dyDescent="0.25">
      <c r="A10" s="28"/>
      <c r="C10" s="8" t="s">
        <v>114</v>
      </c>
      <c r="D10" s="9">
        <v>50</v>
      </c>
      <c r="E10" s="19">
        <f>7.89*2</f>
        <v>15.78</v>
      </c>
      <c r="F10" s="11">
        <f t="shared" si="0"/>
        <v>0.78900000000000003</v>
      </c>
      <c r="G10" s="43"/>
    </row>
    <row r="11" spans="1:11" x14ac:dyDescent="0.25">
      <c r="A11" s="28"/>
      <c r="C11" s="8" t="s">
        <v>28</v>
      </c>
      <c r="D11" s="9">
        <v>40</v>
      </c>
      <c r="E11" s="19">
        <f>IFERROR(VLOOKUP(C11,BDD_INGREDIENTES!$B:$C,2,FALSE),0)</f>
        <v>13.77</v>
      </c>
      <c r="F11" s="11">
        <f t="shared" si="0"/>
        <v>0.55079999999999996</v>
      </c>
      <c r="G11" s="43"/>
    </row>
    <row r="12" spans="1:11" x14ac:dyDescent="0.25">
      <c r="A12" s="28"/>
      <c r="C12" s="8" t="s">
        <v>39</v>
      </c>
      <c r="D12" s="9">
        <v>12</v>
      </c>
      <c r="E12" s="19">
        <f>IFERROR(VLOOKUP(C12,BDD_INGREDIENTES!$B:$C,2,FALSE),0)</f>
        <v>70.400000000000006</v>
      </c>
      <c r="F12" s="11">
        <f t="shared" si="0"/>
        <v>0.84480000000000011</v>
      </c>
      <c r="G12" s="43"/>
    </row>
    <row r="13" spans="1:11" x14ac:dyDescent="0.25">
      <c r="A13" s="28"/>
      <c r="C13" s="8" t="s">
        <v>48</v>
      </c>
      <c r="D13" s="9">
        <v>230</v>
      </c>
      <c r="E13" s="19">
        <f>IFERROR(VLOOKUP(C13,BDD_INGREDIENTES!$B:$C,2,FALSE),0)</f>
        <v>5.89</v>
      </c>
      <c r="F13" s="11">
        <f t="shared" si="0"/>
        <v>1.3547</v>
      </c>
      <c r="G13" s="43"/>
    </row>
    <row r="14" spans="1:11" x14ac:dyDescent="0.25">
      <c r="A14" s="28"/>
      <c r="C14" s="17" t="s">
        <v>115</v>
      </c>
      <c r="D14" s="18">
        <v>1.5</v>
      </c>
      <c r="E14" s="19">
        <f>8.99*2</f>
        <v>17.98</v>
      </c>
      <c r="F14" s="20">
        <f t="shared" si="0"/>
        <v>2.6970000000000001E-2</v>
      </c>
      <c r="G14" s="43"/>
    </row>
    <row r="15" spans="1:11" x14ac:dyDescent="0.25">
      <c r="A15" s="28"/>
      <c r="C15" s="17" t="s">
        <v>116</v>
      </c>
      <c r="D15" s="18">
        <v>20</v>
      </c>
      <c r="E15" s="19">
        <v>29.99</v>
      </c>
      <c r="F15" s="20">
        <f t="shared" si="0"/>
        <v>0.5998</v>
      </c>
      <c r="G15" s="43"/>
    </row>
    <row r="16" spans="1:11" x14ac:dyDescent="0.25">
      <c r="A16" s="28"/>
      <c r="C16" s="17"/>
      <c r="D16" s="18"/>
      <c r="E16" s="19"/>
      <c r="F16" s="20"/>
      <c r="G16" s="43"/>
    </row>
    <row r="17" spans="1:7" ht="15" x14ac:dyDescent="0.3">
      <c r="A17" s="28"/>
      <c r="C17" s="12" t="s">
        <v>8</v>
      </c>
      <c r="D17" s="13">
        <f>SUM(D8:D16)</f>
        <v>553.5</v>
      </c>
      <c r="E17" s="14"/>
      <c r="F17" s="15">
        <f>SUM(F8:F16)</f>
        <v>13.270569999999998</v>
      </c>
      <c r="G17" s="43"/>
    </row>
    <row r="18" spans="1:7" x14ac:dyDescent="0.25">
      <c r="A18" s="28"/>
      <c r="E18" s="46"/>
      <c r="F18" s="47"/>
      <c r="G18" s="43"/>
    </row>
    <row r="19" spans="1:7" x14ac:dyDescent="0.25">
      <c r="A19" s="28"/>
      <c r="E19" s="46"/>
      <c r="F19" s="47"/>
      <c r="G19" s="43"/>
    </row>
    <row r="20" spans="1:7" ht="14.4" customHeight="1" x14ac:dyDescent="0.3">
      <c r="A20" s="28"/>
      <c r="B20" s="44" t="s">
        <v>9</v>
      </c>
      <c r="C20" s="44"/>
      <c r="D20" s="44"/>
      <c r="E20" s="48"/>
      <c r="F20" s="49"/>
      <c r="G20" s="43"/>
    </row>
    <row r="21" spans="1:7" ht="14" x14ac:dyDescent="0.3">
      <c r="A21" s="28"/>
      <c r="C21" s="44"/>
      <c r="D21" s="45" t="s">
        <v>5</v>
      </c>
      <c r="E21" s="16" t="s">
        <v>6</v>
      </c>
      <c r="F21" s="49" t="s">
        <v>7</v>
      </c>
      <c r="G21" s="43"/>
    </row>
    <row r="22" spans="1:7" ht="14" x14ac:dyDescent="0.3">
      <c r="A22" s="28"/>
      <c r="C22" s="23" t="s">
        <v>112</v>
      </c>
      <c r="D22" s="9">
        <v>800</v>
      </c>
      <c r="E22" s="19">
        <v>0</v>
      </c>
      <c r="F22" s="11">
        <f>E22*(D22/1000)</f>
        <v>0</v>
      </c>
      <c r="G22" s="43"/>
    </row>
    <row r="23" spans="1:7" x14ac:dyDescent="0.25">
      <c r="A23" s="28"/>
      <c r="C23" s="8"/>
      <c r="D23" s="9"/>
      <c r="E23" s="19">
        <f>IFERROR(VLOOKUP(C23,BDD_INGREDIENTES!$B:$C,2,FALSE),0)</f>
        <v>0</v>
      </c>
      <c r="F23" s="11">
        <f t="shared" ref="F23:F26" si="1">E23*(D23/1000)</f>
        <v>0</v>
      </c>
      <c r="G23" s="43"/>
    </row>
    <row r="24" spans="1:7" x14ac:dyDescent="0.25">
      <c r="A24" s="28"/>
      <c r="C24" s="8"/>
      <c r="D24" s="9"/>
      <c r="E24" s="19">
        <f>IFERROR(VLOOKUP(C24,BDD_INGREDIENTES!$B:$C,2,FALSE),0)</f>
        <v>0</v>
      </c>
      <c r="F24" s="11">
        <f t="shared" si="1"/>
        <v>0</v>
      </c>
      <c r="G24" s="43"/>
    </row>
    <row r="25" spans="1:7" x14ac:dyDescent="0.25">
      <c r="A25" s="28"/>
      <c r="C25" s="8"/>
      <c r="D25" s="9"/>
      <c r="E25" s="19">
        <f>IFERROR(VLOOKUP(C25,BDD_INGREDIENTES!$B:$C,2,FALSE),0)</f>
        <v>0</v>
      </c>
      <c r="F25" s="11">
        <f t="shared" si="1"/>
        <v>0</v>
      </c>
      <c r="G25" s="43"/>
    </row>
    <row r="26" spans="1:7" x14ac:dyDescent="0.25">
      <c r="A26" s="28"/>
      <c r="C26" s="8"/>
      <c r="D26" s="9"/>
      <c r="E26" s="19">
        <f>IFERROR(VLOOKUP(C26,BDD_INGREDIENTES!$B:$C,2,FALSE),0)</f>
        <v>0</v>
      </c>
      <c r="F26" s="11">
        <f t="shared" si="1"/>
        <v>0</v>
      </c>
      <c r="G26" s="43"/>
    </row>
    <row r="27" spans="1:7" ht="15" x14ac:dyDescent="0.3">
      <c r="A27" s="28"/>
      <c r="C27" s="12" t="s">
        <v>11</v>
      </c>
      <c r="D27" s="13">
        <f>SUM(D22:D26)</f>
        <v>800</v>
      </c>
      <c r="E27" s="14"/>
      <c r="F27" s="15">
        <f>SUM(F22:F26)</f>
        <v>0</v>
      </c>
      <c r="G27" s="43"/>
    </row>
    <row r="28" spans="1:7" x14ac:dyDescent="0.25">
      <c r="A28" s="28"/>
      <c r="E28" s="46"/>
      <c r="F28" s="47"/>
      <c r="G28" s="43"/>
    </row>
    <row r="29" spans="1:7" x14ac:dyDescent="0.25">
      <c r="A29" s="28"/>
      <c r="E29" s="46"/>
      <c r="F29" s="47"/>
      <c r="G29" s="43"/>
    </row>
    <row r="30" spans="1:7" ht="14" x14ac:dyDescent="0.3">
      <c r="A30" s="28"/>
      <c r="B30" s="44" t="s">
        <v>12</v>
      </c>
      <c r="C30" s="44"/>
      <c r="D30" s="44"/>
      <c r="E30" s="48"/>
      <c r="F30" s="49"/>
      <c r="G30" s="43"/>
    </row>
    <row r="31" spans="1:7" ht="14" x14ac:dyDescent="0.3">
      <c r="A31" s="28"/>
      <c r="C31" s="22"/>
      <c r="D31" s="3" t="s">
        <v>5</v>
      </c>
      <c r="E31" s="16" t="s">
        <v>6</v>
      </c>
      <c r="F31" s="16" t="s">
        <v>7</v>
      </c>
      <c r="G31" s="43"/>
    </row>
    <row r="32" spans="1:7" x14ac:dyDescent="0.25">
      <c r="A32" s="28"/>
      <c r="C32" s="68"/>
      <c r="D32" s="9"/>
      <c r="E32" s="19">
        <f>IFERROR(VLOOKUP(C32,BDD_INGREDIENTES!$B:$C,2,FALSE),0)</f>
        <v>0</v>
      </c>
      <c r="F32" s="11">
        <f t="shared" ref="F32:F37" si="2">E32*(D32/1000)</f>
        <v>0</v>
      </c>
      <c r="G32" s="43"/>
    </row>
    <row r="33" spans="1:7" x14ac:dyDescent="0.25">
      <c r="A33" s="28"/>
      <c r="C33" s="8"/>
      <c r="D33" s="9"/>
      <c r="E33" s="19">
        <f>IFERROR(VLOOKUP(C33,BDD_INGREDIENTES!$B:$C,2,FALSE),0)</f>
        <v>0</v>
      </c>
      <c r="F33" s="11">
        <f t="shared" si="2"/>
        <v>0</v>
      </c>
      <c r="G33" s="43"/>
    </row>
    <row r="34" spans="1:7" x14ac:dyDescent="0.25">
      <c r="A34" s="28"/>
      <c r="C34" s="8"/>
      <c r="D34" s="9"/>
      <c r="E34" s="19">
        <f>IFERROR(VLOOKUP(C34,BDD_INGREDIENTES!$B:$C,2,FALSE),0)</f>
        <v>0</v>
      </c>
      <c r="F34" s="11">
        <f t="shared" si="2"/>
        <v>0</v>
      </c>
      <c r="G34" s="43"/>
    </row>
    <row r="35" spans="1:7" x14ac:dyDescent="0.25">
      <c r="A35" s="28"/>
      <c r="C35" s="17"/>
      <c r="D35" s="18"/>
      <c r="E35" s="19">
        <f>IFERROR(VLOOKUP(C35,BDD_INGREDIENTES!$B:$C,2,FALSE),0)</f>
        <v>0</v>
      </c>
      <c r="F35" s="11">
        <f t="shared" si="2"/>
        <v>0</v>
      </c>
      <c r="G35" s="43"/>
    </row>
    <row r="36" spans="1:7" x14ac:dyDescent="0.25">
      <c r="A36" s="28"/>
      <c r="C36" s="17"/>
      <c r="D36" s="18"/>
      <c r="E36" s="19">
        <f>IFERROR(VLOOKUP(C36,BDD_INGREDIENTES!$B:$C,2,FALSE),0)</f>
        <v>0</v>
      </c>
      <c r="F36" s="11">
        <f t="shared" si="2"/>
        <v>0</v>
      </c>
      <c r="G36" s="43"/>
    </row>
    <row r="37" spans="1:7" ht="14" x14ac:dyDescent="0.3">
      <c r="A37" s="28"/>
      <c r="C37" s="21"/>
      <c r="D37" s="18"/>
      <c r="E37" s="19"/>
      <c r="F37" s="11">
        <f t="shared" si="2"/>
        <v>0</v>
      </c>
      <c r="G37" s="43"/>
    </row>
    <row r="38" spans="1:7" ht="15" x14ac:dyDescent="0.3">
      <c r="A38" s="28"/>
      <c r="C38" s="12" t="s">
        <v>13</v>
      </c>
      <c r="D38" s="13">
        <f>SUM(D32:D37)</f>
        <v>0</v>
      </c>
      <c r="E38" s="14"/>
      <c r="F38" s="15">
        <f>SUM(F32:F37)</f>
        <v>0</v>
      </c>
      <c r="G38" s="43"/>
    </row>
    <row r="39" spans="1:7" ht="14" thickBot="1" x14ac:dyDescent="0.3">
      <c r="A39" s="28"/>
      <c r="G39" s="43"/>
    </row>
    <row r="40" spans="1:7" ht="17.5" x14ac:dyDescent="0.35">
      <c r="A40" s="28"/>
      <c r="B40" s="24" t="s">
        <v>18</v>
      </c>
      <c r="C40" s="25"/>
      <c r="D40" s="25"/>
      <c r="E40" s="26" t="s">
        <v>5</v>
      </c>
      <c r="F40" s="27" t="s">
        <v>14</v>
      </c>
      <c r="G40" s="43"/>
    </row>
    <row r="41" spans="1:7" x14ac:dyDescent="0.25">
      <c r="A41" s="28"/>
      <c r="B41" s="28" t="s">
        <v>24</v>
      </c>
      <c r="E41" s="50">
        <f>D17+D27+D38</f>
        <v>1353.5</v>
      </c>
      <c r="F41" s="29">
        <f>F38+F27+F17</f>
        <v>13.270569999999998</v>
      </c>
      <c r="G41" s="43"/>
    </row>
    <row r="42" spans="1:7" ht="14" x14ac:dyDescent="0.3">
      <c r="A42" s="28"/>
      <c r="B42" s="28" t="s">
        <v>36</v>
      </c>
      <c r="D42" s="51">
        <v>0</v>
      </c>
      <c r="E42" s="50">
        <f>+E41*(1-D42)</f>
        <v>1353.5</v>
      </c>
      <c r="F42" s="29">
        <f>F41</f>
        <v>13.270569999999998</v>
      </c>
      <c r="G42" s="43"/>
    </row>
    <row r="43" spans="1:7" ht="17.5" x14ac:dyDescent="0.35">
      <c r="A43" s="28"/>
      <c r="B43" s="30" t="s">
        <v>15</v>
      </c>
      <c r="E43" s="144">
        <v>120</v>
      </c>
      <c r="F43" s="145"/>
      <c r="G43" s="43"/>
    </row>
    <row r="44" spans="1:7" ht="17.5" x14ac:dyDescent="0.35">
      <c r="A44" s="28"/>
      <c r="B44" s="30" t="s">
        <v>19</v>
      </c>
      <c r="C44" s="52"/>
      <c r="E44" s="139">
        <f>ROUNDDOWN(E42/E43,0)</f>
        <v>11</v>
      </c>
      <c r="F44" s="140"/>
      <c r="G44" s="43"/>
    </row>
    <row r="45" spans="1:7" ht="17.5" x14ac:dyDescent="0.35">
      <c r="A45" s="28"/>
      <c r="B45" s="31" t="s">
        <v>20</v>
      </c>
      <c r="C45" s="53"/>
      <c r="D45" s="52"/>
      <c r="E45" s="137">
        <f>F42/E44</f>
        <v>1.2064154545454544</v>
      </c>
      <c r="F45" s="138"/>
      <c r="G45" s="43"/>
    </row>
    <row r="46" spans="1:7" x14ac:dyDescent="0.25">
      <c r="A46" s="28"/>
      <c r="B46" s="32" t="s">
        <v>21</v>
      </c>
      <c r="C46" s="54"/>
      <c r="D46" s="55"/>
      <c r="E46" s="135">
        <f>E45/(E43/1000)</f>
        <v>10.053462121212121</v>
      </c>
      <c r="F46" s="136"/>
      <c r="G46" s="43"/>
    </row>
    <row r="47" spans="1:7" ht="17.5" x14ac:dyDescent="0.35">
      <c r="A47" s="28"/>
      <c r="B47" s="33" t="s">
        <v>16</v>
      </c>
      <c r="C47" s="56"/>
      <c r="E47" s="133">
        <v>1</v>
      </c>
      <c r="F47" s="134"/>
      <c r="G47" s="43"/>
    </row>
    <row r="48" spans="1:7" ht="18" thickBot="1" x14ac:dyDescent="0.4">
      <c r="A48" s="28"/>
      <c r="B48" s="34" t="s">
        <v>17</v>
      </c>
      <c r="C48" s="35"/>
      <c r="D48" s="36"/>
      <c r="E48" s="131">
        <f>(E45*(1+E47))</f>
        <v>2.4128309090909088</v>
      </c>
      <c r="F48" s="132"/>
      <c r="G48" s="43"/>
    </row>
    <row r="49" spans="1:9" x14ac:dyDescent="0.25">
      <c r="A49" s="28"/>
      <c r="G49" s="43"/>
    </row>
    <row r="50" spans="1:9" x14ac:dyDescent="0.25">
      <c r="A50" s="28"/>
      <c r="G50" s="43"/>
    </row>
    <row r="51" spans="1:9" ht="19.5" x14ac:dyDescent="0.35">
      <c r="A51" s="28"/>
      <c r="B51" s="57" t="s">
        <v>25</v>
      </c>
      <c r="C51" s="58"/>
      <c r="D51" s="58"/>
      <c r="E51" s="58"/>
      <c r="F51" s="58"/>
      <c r="G51" s="43"/>
    </row>
    <row r="52" spans="1:9" x14ac:dyDescent="0.25">
      <c r="A52" s="28"/>
      <c r="G52" s="43"/>
    </row>
    <row r="53" spans="1:9" ht="16" x14ac:dyDescent="0.25">
      <c r="A53" s="28"/>
      <c r="B53" s="59" t="s">
        <v>26</v>
      </c>
      <c r="C53" s="37"/>
      <c r="D53" s="37"/>
      <c r="E53" s="37"/>
      <c r="F53" s="37"/>
      <c r="G53" s="60"/>
      <c r="H53" s="37"/>
    </row>
    <row r="54" spans="1:9" ht="78.650000000000006" customHeight="1" x14ac:dyDescent="0.25">
      <c r="A54" s="28"/>
      <c r="B54" s="129" t="s">
        <v>178</v>
      </c>
      <c r="C54" s="129"/>
      <c r="D54" s="129"/>
      <c r="E54" s="129"/>
      <c r="F54" s="129"/>
      <c r="G54" s="61"/>
      <c r="H54" s="38"/>
    </row>
    <row r="55" spans="1:9" x14ac:dyDescent="0.25">
      <c r="A55" s="28"/>
      <c r="G55" s="43"/>
    </row>
    <row r="56" spans="1:9" ht="16" x14ac:dyDescent="0.25">
      <c r="A56" s="28"/>
      <c r="B56" s="59" t="s">
        <v>27</v>
      </c>
      <c r="C56" s="37"/>
      <c r="D56" s="37"/>
      <c r="E56" s="37"/>
      <c r="F56" s="37"/>
      <c r="G56" s="60"/>
      <c r="H56" s="37"/>
      <c r="I56" s="37"/>
    </row>
    <row r="57" spans="1:9" ht="78.650000000000006" customHeight="1" x14ac:dyDescent="0.25">
      <c r="A57" s="28"/>
      <c r="B57" s="129" t="s">
        <v>179</v>
      </c>
      <c r="C57" s="129"/>
      <c r="D57" s="129"/>
      <c r="E57" s="129"/>
      <c r="F57" s="129"/>
      <c r="G57" s="65"/>
      <c r="H57" s="66"/>
      <c r="I57" s="66"/>
    </row>
    <row r="58" spans="1:9" x14ac:dyDescent="0.25">
      <c r="A58" s="28"/>
      <c r="G58" s="43"/>
    </row>
    <row r="59" spans="1:9" ht="16" x14ac:dyDescent="0.25">
      <c r="A59" s="28"/>
      <c r="B59" s="59" t="s">
        <v>41</v>
      </c>
      <c r="C59" s="37"/>
      <c r="D59" s="37"/>
      <c r="E59" s="37"/>
      <c r="F59" s="37"/>
      <c r="G59" s="60"/>
      <c r="H59" s="37"/>
      <c r="I59" s="37"/>
    </row>
    <row r="60" spans="1:9" ht="78.650000000000006" customHeight="1" x14ac:dyDescent="0.25">
      <c r="A60" s="28"/>
      <c r="B60" s="129"/>
      <c r="C60" s="129"/>
      <c r="D60" s="129"/>
      <c r="E60" s="129"/>
      <c r="F60" s="129"/>
      <c r="G60" s="65"/>
      <c r="H60" s="66"/>
      <c r="I60" s="66"/>
    </row>
    <row r="61" spans="1:9" ht="14" thickBot="1" x14ac:dyDescent="0.3">
      <c r="A61" s="62"/>
      <c r="B61" s="63"/>
      <c r="C61" s="63"/>
      <c r="D61" s="63"/>
      <c r="E61" s="63"/>
      <c r="F61" s="63"/>
      <c r="G61" s="64"/>
    </row>
    <row r="130" spans="2:6" ht="14.5" x14ac:dyDescent="0.35">
      <c r="B130"/>
      <c r="C130"/>
      <c r="D130"/>
      <c r="E130"/>
      <c r="F130"/>
    </row>
    <row r="131" spans="2:6" ht="14.5" x14ac:dyDescent="0.35">
      <c r="B131"/>
      <c r="C131"/>
      <c r="D131"/>
      <c r="E131"/>
      <c r="F131"/>
    </row>
    <row r="132" spans="2:6" ht="14.5" x14ac:dyDescent="0.35">
      <c r="B132"/>
      <c r="C132"/>
      <c r="D132"/>
      <c r="E132"/>
      <c r="F132"/>
    </row>
    <row r="133" spans="2:6" ht="14.5" x14ac:dyDescent="0.35">
      <c r="B133"/>
      <c r="C133"/>
      <c r="D133"/>
      <c r="E133"/>
      <c r="F133"/>
    </row>
    <row r="134" spans="2:6" ht="14.5" x14ac:dyDescent="0.35">
      <c r="B134"/>
      <c r="C134"/>
      <c r="D134"/>
      <c r="E134"/>
      <c r="F134"/>
    </row>
    <row r="135" spans="2:6" ht="14.5" x14ac:dyDescent="0.35">
      <c r="B135"/>
      <c r="C135"/>
      <c r="D135"/>
      <c r="E135"/>
      <c r="F135"/>
    </row>
    <row r="136" spans="2:6" ht="14.5" x14ac:dyDescent="0.35">
      <c r="B136"/>
      <c r="C136"/>
      <c r="D136"/>
      <c r="E136"/>
      <c r="F136"/>
    </row>
    <row r="137" spans="2:6" ht="14.5" x14ac:dyDescent="0.35">
      <c r="B137"/>
      <c r="C137"/>
      <c r="D137"/>
      <c r="E137"/>
      <c r="F137"/>
    </row>
    <row r="138" spans="2:6" ht="14.5" x14ac:dyDescent="0.35">
      <c r="B138"/>
      <c r="C138"/>
      <c r="D138"/>
      <c r="E138"/>
      <c r="F138"/>
    </row>
    <row r="139" spans="2:6" ht="14.5" x14ac:dyDescent="0.35">
      <c r="B139"/>
      <c r="C139"/>
      <c r="D139"/>
      <c r="E139"/>
      <c r="F139"/>
    </row>
  </sheetData>
  <mergeCells count="10">
    <mergeCell ref="E47:F47"/>
    <mergeCell ref="E48:F48"/>
    <mergeCell ref="B54:F54"/>
    <mergeCell ref="B57:F57"/>
    <mergeCell ref="B60:F60"/>
    <mergeCell ref="C2:D2"/>
    <mergeCell ref="E43:F43"/>
    <mergeCell ref="E44:F44"/>
    <mergeCell ref="E45:F45"/>
    <mergeCell ref="E46:F46"/>
  </mergeCells>
  <pageMargins left="0.25" right="0.25" top="0.75" bottom="0.75" header="0.3" footer="0.3"/>
  <pageSetup paperSize="9" scale="60" orientation="portrait" verticalDpi="0" r:id="rId1"/>
  <ignoredErrors>
    <ignoredError sqref="E10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306BFD60DC9749A2CA1D3D304A7A84" ma:contentTypeVersion="17" ma:contentTypeDescription="Create a new document." ma:contentTypeScope="" ma:versionID="e4146bc76a97aac99fb5b854c97ecc1b">
  <xsd:schema xmlns:xsd="http://www.w3.org/2001/XMLSchema" xmlns:xs="http://www.w3.org/2001/XMLSchema" xmlns:p="http://schemas.microsoft.com/office/2006/metadata/properties" xmlns:ns2="4140efeb-97d0-4a91-ba3f-b5236c9f186a" xmlns:ns3="4aebf892-cba4-4b7d-b433-e92724bd71b4" targetNamespace="http://schemas.microsoft.com/office/2006/metadata/properties" ma:root="true" ma:fieldsID="28dfdb425907c048dcf90c49c1357276" ns2:_="" ns3:_="">
    <xsd:import namespace="4140efeb-97d0-4a91-ba3f-b5236c9f186a"/>
    <xsd:import namespace="4aebf892-cba4-4b7d-b433-e92724bd71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0efeb-97d0-4a91-ba3f-b5236c9f18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7" nillable="true" ma:displayName="Sign-off status" ma:internalName="Sign_x002d_off_x0020_status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4ab4358c-f7e1-414f-be12-3ad349f01f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ebf892-cba4-4b7d-b433-e92724bd71b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140efeb-97d0-4a91-ba3f-b5236c9f186a" xsi:nil="true"/>
    <lcf76f155ced4ddcb4097134ff3c332f xmlns="4140efeb-97d0-4a91-ba3f-b5236c9f186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44C9DB-8A41-4CD3-9507-B79F9A5A11A3}"/>
</file>

<file path=customXml/itemProps2.xml><?xml version="1.0" encoding="utf-8"?>
<ds:datastoreItem xmlns:ds="http://schemas.openxmlformats.org/officeDocument/2006/customXml" ds:itemID="{F5B4F103-05EF-4DB2-A3E5-70D958DB3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5218E9-D205-46F6-81B1-D16AE3C39F20}">
  <ds:schemaRefs>
    <ds:schemaRef ds:uri="4140efeb-97d0-4a91-ba3f-b5236c9f186a"/>
    <ds:schemaRef ds:uri="http://www.w3.org/XML/1998/namespace"/>
    <ds:schemaRef ds:uri="http://purl.org/dc/dcmitype/"/>
    <ds:schemaRef ds:uri="http://schemas.openxmlformats.org/package/2006/metadata/core-properties"/>
    <ds:schemaRef ds:uri="4aebf892-cba4-4b7d-b433-e92724bd71b4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14</vt:i4>
      </vt:variant>
    </vt:vector>
  </HeadingPairs>
  <TitlesOfParts>
    <vt:vector size="30" baseType="lpstr">
      <vt:lpstr>BDD_INGREDIENTES</vt:lpstr>
      <vt:lpstr>MENU</vt:lpstr>
      <vt:lpstr>TRIO CROCANTE</vt:lpstr>
      <vt:lpstr>BOLO DE CHOCO E BRIGADEIRO</vt:lpstr>
      <vt:lpstr>BOLO CENOURA E BRIGADEIRO</vt:lpstr>
      <vt:lpstr>OVO DUO AVELÃ</vt:lpstr>
      <vt:lpstr>OVO CHOCO CRUNCHY</vt:lpstr>
      <vt:lpstr>COLOMBA DE PISTACHE</vt:lpstr>
      <vt:lpstr>COOKIE NA LATA</vt:lpstr>
      <vt:lpstr>MARITOZZO</vt:lpstr>
      <vt:lpstr>OVO DE COLHER</vt:lpstr>
      <vt:lpstr>OVO TRUFADO</vt:lpstr>
      <vt:lpstr>COLOMBA BYTES</vt:lpstr>
      <vt:lpstr>TIRAMISÚ</vt:lpstr>
      <vt:lpstr>TORTA CRUNCHY</vt:lpstr>
      <vt:lpstr>COOKIETTONE</vt:lpstr>
      <vt:lpstr>'BOLO CENOURA E BRIGADEIRO'!Area_de_impressao</vt:lpstr>
      <vt:lpstr>'BOLO DE CHOCO E BRIGADEIRO'!Area_de_impressao</vt:lpstr>
      <vt:lpstr>'COLOMBA BYTES'!Area_de_impressao</vt:lpstr>
      <vt:lpstr>'COLOMBA DE PISTACHE'!Area_de_impressao</vt:lpstr>
      <vt:lpstr>'COOKIE NA LATA'!Area_de_impressao</vt:lpstr>
      <vt:lpstr>COOKIETTONE!Area_de_impressao</vt:lpstr>
      <vt:lpstr>MARITOZZO!Area_de_impressao</vt:lpstr>
      <vt:lpstr>'OVO CHOCO CRUNCHY'!Area_de_impressao</vt:lpstr>
      <vt:lpstr>'OVO DE COLHER'!Area_de_impressao</vt:lpstr>
      <vt:lpstr>'OVO DUO AVELÃ'!Area_de_impressao</vt:lpstr>
      <vt:lpstr>'OVO TRUFADO'!Area_de_impressao</vt:lpstr>
      <vt:lpstr>TIRAMISÚ!Area_de_impressao</vt:lpstr>
      <vt:lpstr>'TORTA CRUNCHY'!Area_de_impressao</vt:lpstr>
      <vt:lpstr>'TRIO CROCANTE'!Area_de_impressao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Soares Leonardo</dc:creator>
  <cp:lastModifiedBy>Ayres Leticia</cp:lastModifiedBy>
  <cp:lastPrinted>2025-04-28T11:48:52Z</cp:lastPrinted>
  <dcterms:created xsi:type="dcterms:W3CDTF">2015-06-05T18:17:20Z</dcterms:created>
  <dcterms:modified xsi:type="dcterms:W3CDTF">2026-01-14T17:45:32Z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0x010100DD306BFD60DC9749A2CA1D3D304A7A84</vt:lpwstr>
  </property>
</Properties>
</file>